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.xml" ContentType="application/vnd.openxmlformats-officedocument.drawingml.chartshapes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.xml" ContentType="application/vnd.openxmlformats-officedocument.drawingml.chartshapes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2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CI\SQT\Hellbender Edit\"/>
    </mc:Choice>
  </mc:AlternateContent>
  <xr:revisionPtr revIDLastSave="0" documentId="13_ncr:1_{74C9CB23-0444-4D66-A469-179EA9AA3698}" xr6:coauthVersionLast="47" xr6:coauthVersionMax="47" xr10:uidLastSave="{00000000-0000-0000-0000-000000000000}"/>
  <bookViews>
    <workbookView xWindow="28680" yWindow="-120" windowWidth="19440" windowHeight="15000" tabRatio="669" activeTab="1" xr2:uid="{098A2D01-A662-4DBB-B564-D9BBB1246209}"/>
  </bookViews>
  <sheets>
    <sheet name="Project Summary" sheetId="1" r:id="rId1"/>
    <sheet name="Parameter Selection Guide" sheetId="2" r:id="rId2"/>
    <sheet name="Quantification_Tool" sheetId="3" r:id="rId3"/>
    <sheet name="SQT_As-Built" sheetId="5" r:id="rId4"/>
    <sheet name="SQT_5-Year" sheetId="4" r:id="rId5"/>
    <sheet name="Reference Curves" sheetId="6" r:id="rId6"/>
    <sheet name="Pull Down Notes" sheetId="7" r:id="rId7"/>
  </sheets>
  <externalReferences>
    <externalReference r:id="rId8"/>
  </externalReferences>
  <definedNames>
    <definedName name="BEHI.NBS">'Pull Down Notes'!$B$35:$B$65</definedName>
    <definedName name="Flow.Type">'Pull Down Notes'!$B$29:$B$32</definedName>
    <definedName name="Level">'Pull Down Notes'!$B$66:$B$68</definedName>
    <definedName name="ProgramGoals">'Pull Down Notes'!$B$83:$B$86</definedName>
    <definedName name="Region">'Pull Down Notes'!$B$70:$B$73</definedName>
    <definedName name="RiverBasins">'Pull Down Notes'!$B$96:$B$106</definedName>
    <definedName name="StreamType">'Pull Down Notes'!$B$1:$B$15</definedName>
    <definedName name="WaterTypes">'Pull Down Notes'!$B$108:$B$111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H22" i="5"/>
  <c r="H22" i="4"/>
  <c r="E106" i="3"/>
  <c r="E105" i="3"/>
  <c r="H12" i="5"/>
  <c r="H13" i="5"/>
  <c r="H15" i="5"/>
  <c r="H19" i="5" s="1"/>
  <c r="H16" i="5"/>
  <c r="H17" i="5"/>
  <c r="H14" i="4"/>
  <c r="H15" i="4"/>
  <c r="H19" i="4" s="1"/>
  <c r="H16" i="4"/>
  <c r="H17" i="4"/>
  <c r="H18" i="4" l="1"/>
  <c r="H14" i="5"/>
  <c r="H18" i="5"/>
  <c r="H20" i="5"/>
  <c r="H20" i="4"/>
  <c r="J45" i="3" l="1"/>
  <c r="F46" i="3"/>
  <c r="K132" i="3"/>
  <c r="G118" i="3"/>
  <c r="G132" i="3" s="1"/>
  <c r="H118" i="3"/>
  <c r="H132" i="3" s="1"/>
  <c r="I118" i="3"/>
  <c r="I132" i="3" s="1"/>
  <c r="J118" i="3"/>
  <c r="J132" i="3" s="1"/>
  <c r="K118" i="3"/>
  <c r="L118" i="3"/>
  <c r="L132" i="3" s="1"/>
  <c r="M118" i="3"/>
  <c r="M132" i="3" s="1"/>
  <c r="N118" i="3"/>
  <c r="N132" i="3" s="1"/>
  <c r="O118" i="3"/>
  <c r="O132" i="3" s="1"/>
  <c r="F88" i="3"/>
  <c r="F87" i="3"/>
  <c r="F118" i="3" s="1"/>
  <c r="F132" i="3" s="1"/>
  <c r="E118" i="3"/>
  <c r="E132" i="3" s="1"/>
  <c r="J53" i="5"/>
  <c r="K53" i="5" s="1"/>
  <c r="F53" i="5"/>
  <c r="G53" i="5" s="1"/>
  <c r="F38" i="3"/>
  <c r="J38" i="3"/>
  <c r="F39" i="3"/>
  <c r="J39" i="3"/>
  <c r="J53" i="3"/>
  <c r="K53" i="3" s="1"/>
  <c r="D132" i="3" s="1"/>
  <c r="F53" i="3"/>
  <c r="J54" i="3"/>
  <c r="K54" i="3" s="1"/>
  <c r="L53" i="3" l="1"/>
  <c r="G53" i="3"/>
  <c r="C132" i="3" s="1"/>
  <c r="J31" i="3" l="1"/>
  <c r="F31" i="3"/>
  <c r="E135" i="3" l="1"/>
  <c r="E121" i="3" s="1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60" i="3"/>
  <c r="J39" i="4"/>
  <c r="J38" i="4"/>
  <c r="F39" i="4"/>
  <c r="F38" i="4"/>
  <c r="J39" i="5"/>
  <c r="J38" i="5"/>
  <c r="F39" i="5"/>
  <c r="F38" i="5"/>
  <c r="U284" i="6"/>
  <c r="J53" i="4" l="1"/>
  <c r="K53" i="4" s="1"/>
  <c r="F53" i="4"/>
  <c r="G53" i="4" s="1"/>
  <c r="J52" i="4"/>
  <c r="F52" i="4"/>
  <c r="J51" i="4"/>
  <c r="K51" i="4" s="1"/>
  <c r="F51" i="4"/>
  <c r="G51" i="4" s="1"/>
  <c r="J50" i="4"/>
  <c r="K50" i="4" s="1"/>
  <c r="F50" i="4"/>
  <c r="G50" i="4" s="1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F40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K30" i="4" s="1"/>
  <c r="F30" i="4"/>
  <c r="G30" i="4" s="1"/>
  <c r="J29" i="4"/>
  <c r="F29" i="4"/>
  <c r="J28" i="4"/>
  <c r="F28" i="4"/>
  <c r="J27" i="4"/>
  <c r="F27" i="4"/>
  <c r="J26" i="4"/>
  <c r="F26" i="4"/>
  <c r="G26" i="4" s="1"/>
  <c r="H26" i="4" s="1"/>
  <c r="J54" i="5"/>
  <c r="K54" i="5" s="1"/>
  <c r="L53" i="5" s="1"/>
  <c r="F54" i="5"/>
  <c r="G54" i="5" s="1"/>
  <c r="H53" i="5" s="1"/>
  <c r="J52" i="5"/>
  <c r="F52" i="5"/>
  <c r="J51" i="5"/>
  <c r="K51" i="5" s="1"/>
  <c r="F51" i="5"/>
  <c r="G51" i="5" s="1"/>
  <c r="J50" i="5"/>
  <c r="K50" i="5" s="1"/>
  <c r="F50" i="5"/>
  <c r="G50" i="5" s="1"/>
  <c r="J49" i="5"/>
  <c r="F49" i="5"/>
  <c r="J48" i="5"/>
  <c r="F48" i="5"/>
  <c r="J47" i="5"/>
  <c r="F47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K31" i="5" s="1"/>
  <c r="F31" i="5"/>
  <c r="J30" i="5"/>
  <c r="K30" i="5" s="1"/>
  <c r="F30" i="5"/>
  <c r="G30" i="5" s="1"/>
  <c r="J29" i="5"/>
  <c r="F29" i="5"/>
  <c r="J28" i="5"/>
  <c r="F28" i="5"/>
  <c r="J27" i="5"/>
  <c r="F27" i="5"/>
  <c r="J26" i="5"/>
  <c r="F26" i="5"/>
  <c r="K26" i="5" l="1"/>
  <c r="L26" i="5" s="1"/>
  <c r="K26" i="4"/>
  <c r="L26" i="4" s="1"/>
  <c r="K42" i="4"/>
  <c r="G42" i="4"/>
  <c r="K28" i="5"/>
  <c r="L28" i="5" s="1"/>
  <c r="G28" i="4"/>
  <c r="H28" i="4" s="1"/>
  <c r="K45" i="4"/>
  <c r="G45" i="4"/>
  <c r="G26" i="5"/>
  <c r="H26" i="5" s="1"/>
  <c r="K28" i="4"/>
  <c r="L28" i="4" s="1"/>
  <c r="G34" i="4"/>
  <c r="K34" i="4"/>
  <c r="G31" i="4"/>
  <c r="H50" i="4"/>
  <c r="K31" i="4"/>
  <c r="L50" i="4"/>
  <c r="L50" i="5"/>
  <c r="G45" i="5"/>
  <c r="K45" i="5"/>
  <c r="G34" i="5"/>
  <c r="G42" i="5"/>
  <c r="K34" i="5"/>
  <c r="K42" i="5"/>
  <c r="G28" i="5"/>
  <c r="H28" i="5" s="1"/>
  <c r="G31" i="5"/>
  <c r="H50" i="5"/>
  <c r="O135" i="3"/>
  <c r="O121" i="3" s="1"/>
  <c r="N135" i="3"/>
  <c r="N121" i="3" s="1"/>
  <c r="M135" i="3"/>
  <c r="M121" i="3" s="1"/>
  <c r="L135" i="3"/>
  <c r="L121" i="3" s="1"/>
  <c r="K135" i="3"/>
  <c r="K121" i="3" s="1"/>
  <c r="J135" i="3"/>
  <c r="J121" i="3" s="1"/>
  <c r="I135" i="3"/>
  <c r="I121" i="3" s="1"/>
  <c r="H135" i="3"/>
  <c r="H121" i="3" s="1"/>
  <c r="G135" i="3"/>
  <c r="G121" i="3" s="1"/>
  <c r="F135" i="3"/>
  <c r="F121" i="3" s="1"/>
  <c r="O119" i="3"/>
  <c r="O133" i="3" s="1"/>
  <c r="O140" i="3" s="1"/>
  <c r="N119" i="3"/>
  <c r="N133" i="3" s="1"/>
  <c r="N140" i="3" s="1"/>
  <c r="M119" i="3"/>
  <c r="M133" i="3" s="1"/>
  <c r="M140" i="3" s="1"/>
  <c r="L119" i="3"/>
  <c r="L133" i="3" s="1"/>
  <c r="L140" i="3" s="1"/>
  <c r="K119" i="3"/>
  <c r="K133" i="3" s="1"/>
  <c r="K140" i="3" s="1"/>
  <c r="J119" i="3"/>
  <c r="J133" i="3" s="1"/>
  <c r="J140" i="3" s="1"/>
  <c r="I119" i="3"/>
  <c r="I133" i="3" s="1"/>
  <c r="I140" i="3" s="1"/>
  <c r="H119" i="3"/>
  <c r="H133" i="3" s="1"/>
  <c r="H140" i="3" s="1"/>
  <c r="G119" i="3"/>
  <c r="G133" i="3" s="1"/>
  <c r="G140" i="3" s="1"/>
  <c r="F119" i="3"/>
  <c r="F133" i="3" s="1"/>
  <c r="F140" i="3" s="1"/>
  <c r="E119" i="3"/>
  <c r="E133" i="3" s="1"/>
  <c r="E140" i="3" s="1"/>
  <c r="O117" i="3"/>
  <c r="O131" i="3" s="1"/>
  <c r="N117" i="3"/>
  <c r="N131" i="3" s="1"/>
  <c r="M117" i="3"/>
  <c r="M131" i="3" s="1"/>
  <c r="L117" i="3"/>
  <c r="L131" i="3" s="1"/>
  <c r="K117" i="3"/>
  <c r="K131" i="3" s="1"/>
  <c r="J117" i="3"/>
  <c r="J131" i="3" s="1"/>
  <c r="I117" i="3"/>
  <c r="I131" i="3" s="1"/>
  <c r="H117" i="3"/>
  <c r="H131" i="3" s="1"/>
  <c r="G117" i="3"/>
  <c r="G131" i="3" s="1"/>
  <c r="F117" i="3"/>
  <c r="D131" i="3" s="1"/>
  <c r="E117" i="3"/>
  <c r="C131" i="3" s="1"/>
  <c r="O116" i="3"/>
  <c r="O130" i="3" s="1"/>
  <c r="N116" i="3"/>
  <c r="N130" i="3" s="1"/>
  <c r="M116" i="3"/>
  <c r="M130" i="3" s="1"/>
  <c r="L116" i="3"/>
  <c r="L130" i="3" s="1"/>
  <c r="K116" i="3"/>
  <c r="K130" i="3" s="1"/>
  <c r="J116" i="3"/>
  <c r="J130" i="3" s="1"/>
  <c r="I116" i="3"/>
  <c r="I130" i="3" s="1"/>
  <c r="H116" i="3"/>
  <c r="H130" i="3" s="1"/>
  <c r="G116" i="3"/>
  <c r="G130" i="3" s="1"/>
  <c r="F116" i="3"/>
  <c r="F130" i="3" s="1"/>
  <c r="E116" i="3"/>
  <c r="E130" i="3" s="1"/>
  <c r="O115" i="3"/>
  <c r="O129" i="3" s="1"/>
  <c r="N115" i="3"/>
  <c r="N129" i="3" s="1"/>
  <c r="M115" i="3"/>
  <c r="M129" i="3" s="1"/>
  <c r="L115" i="3"/>
  <c r="L129" i="3" s="1"/>
  <c r="K115" i="3"/>
  <c r="K129" i="3" s="1"/>
  <c r="J115" i="3"/>
  <c r="J129" i="3" s="1"/>
  <c r="I115" i="3"/>
  <c r="I129" i="3" s="1"/>
  <c r="H115" i="3"/>
  <c r="H129" i="3" s="1"/>
  <c r="G115" i="3"/>
  <c r="G129" i="3" s="1"/>
  <c r="F115" i="3"/>
  <c r="F129" i="3" s="1"/>
  <c r="E115" i="3"/>
  <c r="E129" i="3" s="1"/>
  <c r="O114" i="3"/>
  <c r="N114" i="3"/>
  <c r="M114" i="3"/>
  <c r="L114" i="3"/>
  <c r="K114" i="3"/>
  <c r="J114" i="3"/>
  <c r="I114" i="3"/>
  <c r="H114" i="3"/>
  <c r="G114" i="3"/>
  <c r="F114" i="3"/>
  <c r="E114" i="3"/>
  <c r="O113" i="3"/>
  <c r="N113" i="3"/>
  <c r="M113" i="3"/>
  <c r="L113" i="3"/>
  <c r="K113" i="3"/>
  <c r="J113" i="3"/>
  <c r="I113" i="3"/>
  <c r="H113" i="3"/>
  <c r="G113" i="3"/>
  <c r="F113" i="3"/>
  <c r="E113" i="3"/>
  <c r="O112" i="3"/>
  <c r="N112" i="3"/>
  <c r="M112" i="3"/>
  <c r="L112" i="3"/>
  <c r="K112" i="3"/>
  <c r="J112" i="3"/>
  <c r="I112" i="3"/>
  <c r="H112" i="3"/>
  <c r="G112" i="3"/>
  <c r="F112" i="3"/>
  <c r="E112" i="3"/>
  <c r="O111" i="3"/>
  <c r="N111" i="3"/>
  <c r="M111" i="3"/>
  <c r="L111" i="3"/>
  <c r="K111" i="3"/>
  <c r="J111" i="3"/>
  <c r="I111" i="3"/>
  <c r="H111" i="3"/>
  <c r="G111" i="3"/>
  <c r="F111" i="3"/>
  <c r="E111" i="3"/>
  <c r="O110" i="3"/>
  <c r="N110" i="3"/>
  <c r="M110" i="3"/>
  <c r="L110" i="3"/>
  <c r="K110" i="3"/>
  <c r="J110" i="3"/>
  <c r="I110" i="3"/>
  <c r="H110" i="3"/>
  <c r="G110" i="3"/>
  <c r="F110" i="3"/>
  <c r="E110" i="3"/>
  <c r="O109" i="3"/>
  <c r="N109" i="3"/>
  <c r="M109" i="3"/>
  <c r="L109" i="3"/>
  <c r="K109" i="3"/>
  <c r="J109" i="3"/>
  <c r="I109" i="3"/>
  <c r="H109" i="3"/>
  <c r="G109" i="3"/>
  <c r="F109" i="3"/>
  <c r="E109" i="3"/>
  <c r="O108" i="3"/>
  <c r="N108" i="3"/>
  <c r="M108" i="3"/>
  <c r="L108" i="3"/>
  <c r="K108" i="3"/>
  <c r="J108" i="3"/>
  <c r="I108" i="3"/>
  <c r="H108" i="3"/>
  <c r="G108" i="3"/>
  <c r="F108" i="3"/>
  <c r="E108" i="3"/>
  <c r="O107" i="3"/>
  <c r="N107" i="3"/>
  <c r="M107" i="3"/>
  <c r="L107" i="3"/>
  <c r="K107" i="3"/>
  <c r="J107" i="3"/>
  <c r="I107" i="3"/>
  <c r="H107" i="3"/>
  <c r="G107" i="3"/>
  <c r="F107" i="3"/>
  <c r="E107" i="3"/>
  <c r="O106" i="3"/>
  <c r="N106" i="3"/>
  <c r="M106" i="3"/>
  <c r="L106" i="3"/>
  <c r="K106" i="3"/>
  <c r="J106" i="3"/>
  <c r="I106" i="3"/>
  <c r="H106" i="3"/>
  <c r="G106" i="3"/>
  <c r="F106" i="3"/>
  <c r="O105" i="3"/>
  <c r="N105" i="3"/>
  <c r="M105" i="3"/>
  <c r="L105" i="3"/>
  <c r="K105" i="3"/>
  <c r="J105" i="3"/>
  <c r="I105" i="3"/>
  <c r="H105" i="3"/>
  <c r="G105" i="3"/>
  <c r="F105" i="3"/>
  <c r="O104" i="3"/>
  <c r="N104" i="3"/>
  <c r="M104" i="3"/>
  <c r="L104" i="3"/>
  <c r="K104" i="3"/>
  <c r="J104" i="3"/>
  <c r="I104" i="3"/>
  <c r="H104" i="3"/>
  <c r="G104" i="3"/>
  <c r="F104" i="3"/>
  <c r="E104" i="3"/>
  <c r="O103" i="3"/>
  <c r="N103" i="3"/>
  <c r="M103" i="3"/>
  <c r="L103" i="3"/>
  <c r="K103" i="3"/>
  <c r="J103" i="3"/>
  <c r="I103" i="3"/>
  <c r="H103" i="3"/>
  <c r="G103" i="3"/>
  <c r="F103" i="3"/>
  <c r="E103" i="3"/>
  <c r="O102" i="3"/>
  <c r="N102" i="3"/>
  <c r="M102" i="3"/>
  <c r="L102" i="3"/>
  <c r="K102" i="3"/>
  <c r="J102" i="3"/>
  <c r="I102" i="3"/>
  <c r="H102" i="3"/>
  <c r="G102" i="3"/>
  <c r="F102" i="3"/>
  <c r="E102" i="3"/>
  <c r="O101" i="3"/>
  <c r="N101" i="3"/>
  <c r="M101" i="3"/>
  <c r="L101" i="3"/>
  <c r="K101" i="3"/>
  <c r="J101" i="3"/>
  <c r="I101" i="3"/>
  <c r="H101" i="3"/>
  <c r="G101" i="3"/>
  <c r="F101" i="3"/>
  <c r="E101" i="3"/>
  <c r="O100" i="3"/>
  <c r="N100" i="3"/>
  <c r="M100" i="3"/>
  <c r="L100" i="3"/>
  <c r="K100" i="3"/>
  <c r="J100" i="3"/>
  <c r="I100" i="3"/>
  <c r="H100" i="3"/>
  <c r="G100" i="3"/>
  <c r="F100" i="3"/>
  <c r="E100" i="3"/>
  <c r="O99" i="3"/>
  <c r="N99" i="3"/>
  <c r="M99" i="3"/>
  <c r="L99" i="3"/>
  <c r="K99" i="3"/>
  <c r="J99" i="3"/>
  <c r="I99" i="3"/>
  <c r="H99" i="3"/>
  <c r="G99" i="3"/>
  <c r="F99" i="3"/>
  <c r="E99" i="3"/>
  <c r="O98" i="3"/>
  <c r="N98" i="3"/>
  <c r="M98" i="3"/>
  <c r="L98" i="3"/>
  <c r="K98" i="3"/>
  <c r="J98" i="3"/>
  <c r="I98" i="3"/>
  <c r="H98" i="3"/>
  <c r="G98" i="3"/>
  <c r="F98" i="3"/>
  <c r="E98" i="3"/>
  <c r="O97" i="3"/>
  <c r="N97" i="3"/>
  <c r="M97" i="3"/>
  <c r="L97" i="3"/>
  <c r="K97" i="3"/>
  <c r="J97" i="3"/>
  <c r="I97" i="3"/>
  <c r="H97" i="3"/>
  <c r="G97" i="3"/>
  <c r="F97" i="3"/>
  <c r="E97" i="3"/>
  <c r="O96" i="3"/>
  <c r="N96" i="3"/>
  <c r="M96" i="3"/>
  <c r="L96" i="3"/>
  <c r="K96" i="3"/>
  <c r="J96" i="3"/>
  <c r="I96" i="3"/>
  <c r="H96" i="3"/>
  <c r="H125" i="3" s="1"/>
  <c r="G96" i="3"/>
  <c r="G125" i="3" s="1"/>
  <c r="F96" i="3"/>
  <c r="E96" i="3"/>
  <c r="O95" i="3"/>
  <c r="O124" i="3" s="1"/>
  <c r="N95" i="3"/>
  <c r="N124" i="3" s="1"/>
  <c r="M95" i="3"/>
  <c r="M124" i="3" s="1"/>
  <c r="L95" i="3"/>
  <c r="L124" i="3" s="1"/>
  <c r="K95" i="3"/>
  <c r="K124" i="3" s="1"/>
  <c r="J95" i="3"/>
  <c r="J124" i="3" s="1"/>
  <c r="I95" i="3"/>
  <c r="I124" i="3" s="1"/>
  <c r="H95" i="3"/>
  <c r="H124" i="3" s="1"/>
  <c r="G95" i="3"/>
  <c r="G124" i="3" s="1"/>
  <c r="F95" i="3"/>
  <c r="F124" i="3" s="1"/>
  <c r="E95" i="3"/>
  <c r="E124" i="3" s="1"/>
  <c r="O94" i="3"/>
  <c r="N94" i="3"/>
  <c r="M94" i="3"/>
  <c r="L94" i="3"/>
  <c r="K94" i="3"/>
  <c r="J94" i="3"/>
  <c r="I94" i="3"/>
  <c r="H94" i="3"/>
  <c r="G94" i="3"/>
  <c r="F94" i="3"/>
  <c r="E94" i="3"/>
  <c r="O93" i="3"/>
  <c r="N93" i="3"/>
  <c r="M93" i="3"/>
  <c r="L93" i="3"/>
  <c r="K93" i="3"/>
  <c r="J93" i="3"/>
  <c r="I93" i="3"/>
  <c r="H93" i="3"/>
  <c r="G93" i="3"/>
  <c r="F93" i="3"/>
  <c r="E93" i="3"/>
  <c r="O92" i="3"/>
  <c r="N92" i="3"/>
  <c r="M92" i="3"/>
  <c r="L92" i="3"/>
  <c r="K92" i="3"/>
  <c r="J92" i="3"/>
  <c r="I92" i="3"/>
  <c r="H92" i="3"/>
  <c r="G92" i="3"/>
  <c r="F92" i="3"/>
  <c r="E92" i="3"/>
  <c r="O91" i="3"/>
  <c r="N91" i="3"/>
  <c r="M91" i="3"/>
  <c r="L91" i="3"/>
  <c r="K91" i="3"/>
  <c r="J91" i="3"/>
  <c r="I91" i="3"/>
  <c r="H91" i="3"/>
  <c r="G91" i="3"/>
  <c r="F91" i="3"/>
  <c r="E91" i="3"/>
  <c r="F54" i="3"/>
  <c r="G54" i="3" s="1"/>
  <c r="J52" i="3"/>
  <c r="F52" i="3"/>
  <c r="J51" i="3"/>
  <c r="K51" i="3" s="1"/>
  <c r="D130" i="3" s="1"/>
  <c r="F51" i="3"/>
  <c r="G51" i="3" s="1"/>
  <c r="C130" i="3" s="1"/>
  <c r="J50" i="3"/>
  <c r="K50" i="3" s="1"/>
  <c r="F50" i="3"/>
  <c r="G50" i="3" s="1"/>
  <c r="J49" i="3"/>
  <c r="F49" i="3"/>
  <c r="J48" i="3"/>
  <c r="F48" i="3"/>
  <c r="J47" i="3"/>
  <c r="F47" i="3"/>
  <c r="J46" i="3"/>
  <c r="F45" i="3"/>
  <c r="J44" i="3"/>
  <c r="F44" i="3"/>
  <c r="J43" i="3"/>
  <c r="F43" i="3"/>
  <c r="J42" i="3"/>
  <c r="F42" i="3"/>
  <c r="J41" i="3"/>
  <c r="F41" i="3"/>
  <c r="J40" i="3"/>
  <c r="F40" i="3"/>
  <c r="J37" i="3"/>
  <c r="F37" i="3"/>
  <c r="J36" i="3"/>
  <c r="F36" i="3"/>
  <c r="J35" i="3"/>
  <c r="F35" i="3"/>
  <c r="J34" i="3"/>
  <c r="F34" i="3"/>
  <c r="J33" i="3"/>
  <c r="F33" i="3"/>
  <c r="J32" i="3"/>
  <c r="F32" i="3"/>
  <c r="J30" i="3"/>
  <c r="K30" i="3" s="1"/>
  <c r="D124" i="3" s="1"/>
  <c r="F30" i="3"/>
  <c r="G30" i="3" s="1"/>
  <c r="J29" i="3"/>
  <c r="F29" i="3"/>
  <c r="J28" i="3"/>
  <c r="F28" i="3"/>
  <c r="J27" i="3"/>
  <c r="F27" i="3"/>
  <c r="J26" i="3"/>
  <c r="F26" i="3"/>
  <c r="H13" i="3"/>
  <c r="H12" i="3"/>
  <c r="U354" i="6"/>
  <c r="AE14" i="6"/>
  <c r="AD14" i="6"/>
  <c r="L53" i="4"/>
  <c r="F25" i="1" a="1"/>
  <c r="H29" i="1" a="1"/>
  <c r="G22" i="1" a="1"/>
  <c r="B25" i="1" a="1"/>
  <c r="G23" i="1" a="1"/>
  <c r="F29" i="1" a="1"/>
  <c r="G24" i="1" a="1"/>
  <c r="F24" i="1" a="1"/>
  <c r="F30" i="1" a="1"/>
  <c r="G28" i="1" a="1"/>
  <c r="B24" i="1" a="1"/>
  <c r="B21" i="1" a="1"/>
  <c r="B27" i="1" a="1"/>
  <c r="H30" i="1" a="1"/>
  <c r="G29" i="1" a="1"/>
  <c r="H22" i="1" a="1"/>
  <c r="B28" i="1" a="1"/>
  <c r="F23" i="1" a="1"/>
  <c r="H28" i="1" a="1"/>
  <c r="B29" i="1" a="1"/>
  <c r="B22" i="1" a="1"/>
  <c r="F21" i="1" a="1"/>
  <c r="B26" i="1" a="1"/>
  <c r="G30" i="1" a="1"/>
  <c r="G26" i="1" a="1"/>
  <c r="H26" i="1" a="1"/>
  <c r="H27" i="1" a="1"/>
  <c r="F26" i="1" a="1"/>
  <c r="G27" i="1" a="1"/>
  <c r="F28" i="1" a="1"/>
  <c r="G25" i="1" a="1"/>
  <c r="F27" i="1" a="1"/>
  <c r="B30" i="1" a="1"/>
  <c r="H24" i="1" a="1"/>
  <c r="F22" i="1" a="1"/>
  <c r="H25" i="1" a="1"/>
  <c r="B23" i="1" a="1"/>
  <c r="H23" i="1" a="1"/>
  <c r="O125" i="3" l="1"/>
  <c r="K125" i="3"/>
  <c r="H53" i="3"/>
  <c r="C140" i="3" s="1"/>
  <c r="I125" i="3"/>
  <c r="L125" i="3"/>
  <c r="J125" i="3"/>
  <c r="E125" i="3"/>
  <c r="M125" i="3"/>
  <c r="F125" i="3"/>
  <c r="N125" i="3"/>
  <c r="L30" i="5"/>
  <c r="L30" i="4"/>
  <c r="H30" i="4"/>
  <c r="H30" i="5"/>
  <c r="K26" i="3"/>
  <c r="D122" i="3" s="1"/>
  <c r="H122" i="3"/>
  <c r="H136" i="3" s="1"/>
  <c r="J123" i="3"/>
  <c r="J137" i="3" s="1"/>
  <c r="G26" i="3"/>
  <c r="H26" i="3" s="1"/>
  <c r="C136" i="3" s="1"/>
  <c r="H14" i="3"/>
  <c r="K28" i="3"/>
  <c r="L28" i="3" s="1"/>
  <c r="D137" i="3" s="1"/>
  <c r="J127" i="3"/>
  <c r="I128" i="3"/>
  <c r="G28" i="3"/>
  <c r="H28" i="3" s="1"/>
  <c r="C137" i="3" s="1"/>
  <c r="L128" i="3"/>
  <c r="L122" i="3"/>
  <c r="L136" i="3" s="1"/>
  <c r="F123" i="3"/>
  <c r="F137" i="3" s="1"/>
  <c r="N123" i="3"/>
  <c r="N137" i="3" s="1"/>
  <c r="F127" i="3"/>
  <c r="N127" i="3"/>
  <c r="G42" i="3"/>
  <c r="I122" i="3"/>
  <c r="I136" i="3" s="1"/>
  <c r="K123" i="3"/>
  <c r="K137" i="3" s="1"/>
  <c r="K127" i="3"/>
  <c r="E122" i="3"/>
  <c r="E136" i="3" s="1"/>
  <c r="M122" i="3"/>
  <c r="M136" i="3" s="1"/>
  <c r="G123" i="3"/>
  <c r="G137" i="3" s="1"/>
  <c r="O123" i="3"/>
  <c r="O137" i="3" s="1"/>
  <c r="E126" i="3"/>
  <c r="M126" i="3"/>
  <c r="G127" i="3"/>
  <c r="O127" i="3"/>
  <c r="F128" i="3"/>
  <c r="N128" i="3"/>
  <c r="K122" i="3"/>
  <c r="K136" i="3" s="1"/>
  <c r="H127" i="3"/>
  <c r="G128" i="3"/>
  <c r="O128" i="3"/>
  <c r="F122" i="3"/>
  <c r="F136" i="3" s="1"/>
  <c r="N122" i="3"/>
  <c r="N136" i="3" s="1"/>
  <c r="H123" i="3"/>
  <c r="H137" i="3" s="1"/>
  <c r="E123" i="3"/>
  <c r="E137" i="3" s="1"/>
  <c r="I127" i="3"/>
  <c r="H53" i="4"/>
  <c r="J122" i="3"/>
  <c r="J136" i="3" s="1"/>
  <c r="K31" i="3"/>
  <c r="D125" i="3" s="1"/>
  <c r="M123" i="3"/>
  <c r="M137" i="3" s="1"/>
  <c r="D129" i="3"/>
  <c r="L50" i="3"/>
  <c r="D139" i="3" s="1"/>
  <c r="E131" i="3"/>
  <c r="E139" i="3" s="1"/>
  <c r="G34" i="3"/>
  <c r="C126" i="3" s="1"/>
  <c r="K45" i="3"/>
  <c r="G122" i="3"/>
  <c r="G136" i="3" s="1"/>
  <c r="O122" i="3"/>
  <c r="O136" i="3" s="1"/>
  <c r="I123" i="3"/>
  <c r="I137" i="3" s="1"/>
  <c r="H128" i="3"/>
  <c r="F131" i="3"/>
  <c r="F139" i="3" s="1"/>
  <c r="G45" i="3"/>
  <c r="H126" i="3"/>
  <c r="N126" i="3"/>
  <c r="E128" i="3"/>
  <c r="I126" i="3"/>
  <c r="L123" i="3"/>
  <c r="L137" i="3" s="1"/>
  <c r="J126" i="3"/>
  <c r="L127" i="3"/>
  <c r="K128" i="3"/>
  <c r="G126" i="3"/>
  <c r="G31" i="3"/>
  <c r="C125" i="3" s="1"/>
  <c r="K139" i="3"/>
  <c r="K126" i="3"/>
  <c r="E127" i="3"/>
  <c r="M127" i="3"/>
  <c r="O126" i="3"/>
  <c r="F126" i="3"/>
  <c r="M128" i="3"/>
  <c r="K42" i="3"/>
  <c r="D127" i="3" s="1"/>
  <c r="J128" i="3"/>
  <c r="K34" i="3"/>
  <c r="D126" i="3" s="1"/>
  <c r="L126" i="3"/>
  <c r="N139" i="3"/>
  <c r="I139" i="3"/>
  <c r="J139" i="3"/>
  <c r="G139" i="3"/>
  <c r="H50" i="3"/>
  <c r="C139" i="3" s="1"/>
  <c r="L139" i="3"/>
  <c r="H139" i="3"/>
  <c r="M139" i="3"/>
  <c r="O139" i="3"/>
  <c r="D133" i="3"/>
  <c r="D140" i="3"/>
  <c r="C124" i="3"/>
  <c r="C133" i="3"/>
  <c r="C129" i="3"/>
  <c r="B28" i="1"/>
  <c r="B24" i="1"/>
  <c r="B29" i="1"/>
  <c r="F21" i="1"/>
  <c r="F24" i="1"/>
  <c r="F25" i="1"/>
  <c r="F26" i="1"/>
  <c r="F27" i="1"/>
  <c r="F28" i="1"/>
  <c r="F29" i="1"/>
  <c r="F30" i="1"/>
  <c r="B21" i="1"/>
  <c r="B27" i="1"/>
  <c r="G23" i="1"/>
  <c r="G24" i="1"/>
  <c r="G26" i="1"/>
  <c r="G27" i="1"/>
  <c r="G28" i="1"/>
  <c r="G29" i="1"/>
  <c r="G30" i="1"/>
  <c r="B25" i="1"/>
  <c r="G25" i="1"/>
  <c r="B22" i="1"/>
  <c r="B26" i="1"/>
  <c r="F23" i="1"/>
  <c r="H23" i="1"/>
  <c r="H25" i="1"/>
  <c r="H26" i="1"/>
  <c r="H28" i="1"/>
  <c r="H30" i="1"/>
  <c r="B23" i="1"/>
  <c r="B30" i="1"/>
  <c r="F22" i="1"/>
  <c r="G22" i="1"/>
  <c r="H22" i="1"/>
  <c r="H24" i="1"/>
  <c r="H27" i="1"/>
  <c r="H29" i="1"/>
  <c r="K141" i="3" l="1"/>
  <c r="O141" i="3"/>
  <c r="N141" i="3"/>
  <c r="H141" i="3"/>
  <c r="L30" i="3"/>
  <c r="D138" i="3" s="1"/>
  <c r="H30" i="3"/>
  <c r="C138" i="3" s="1"/>
  <c r="C141" i="3" s="1"/>
  <c r="C127" i="3"/>
  <c r="D128" i="3"/>
  <c r="C128" i="3"/>
  <c r="C123" i="3"/>
  <c r="D123" i="3"/>
  <c r="C122" i="3"/>
  <c r="L26" i="3"/>
  <c r="D136" i="3" s="1"/>
  <c r="I138" i="3"/>
  <c r="I141" i="3" s="1"/>
  <c r="E138" i="3"/>
  <c r="E141" i="3" s="1"/>
  <c r="H9" i="5" s="1"/>
  <c r="J138" i="3"/>
  <c r="J141" i="3" s="1"/>
  <c r="F138" i="3"/>
  <c r="F141" i="3" s="1"/>
  <c r="H9" i="4" s="1"/>
  <c r="G138" i="3"/>
  <c r="G141" i="3" s="1"/>
  <c r="N138" i="3"/>
  <c r="O138" i="3"/>
  <c r="K138" i="3"/>
  <c r="H138" i="3"/>
  <c r="M138" i="3"/>
  <c r="M141" i="3" s="1"/>
  <c r="L138" i="3"/>
  <c r="L141" i="3" s="1"/>
  <c r="D141" i="3" l="1"/>
  <c r="H8" i="4"/>
  <c r="H10" i="4" s="1"/>
  <c r="H11" i="4" s="1"/>
  <c r="H8" i="5"/>
  <c r="H10" i="5" s="1"/>
  <c r="H11" i="5" s="1"/>
  <c r="H8" i="3"/>
  <c r="H9" i="3"/>
  <c r="H16" i="3" s="1"/>
  <c r="H21" i="1" a="1"/>
  <c r="G21" i="1" a="1"/>
  <c r="H20" i="3" l="1"/>
  <c r="G21" i="1"/>
  <c r="H15" i="3"/>
  <c r="H19" i="3" s="1"/>
  <c r="H10" i="3"/>
  <c r="H11" i="3" s="1"/>
  <c r="H21" i="1"/>
  <c r="H17" i="3" l="1"/>
  <c r="H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cjones</author>
  </authors>
  <commentList>
    <comment ref="A19" authorId="0" shapeId="0" xr:uid="{51F510E8-478F-4894-BC5F-DA0BA54B95F9}">
      <text>
        <r>
          <rPr>
            <sz val="9"/>
            <color indexed="81"/>
            <rFont val="Tahoma"/>
            <family val="2"/>
          </rPr>
          <t>Write worksheet name here (Use the same acronym for the worksheet, ex. TC1).  No blank spaces, use _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tc={00DF965A-410E-4099-A4A7-A24B2FE74E4B}</author>
  </authors>
  <commentList>
    <comment ref="A1" authorId="0" shapeId="0" xr:uid="{00DF965A-410E-4099-A4A7-A24B2FE74E4B}">
      <text>
        <t>[Threaded comment]
Your version of Excel allows you to read this threaded comment; however, any edits to it will get removed if the file is opened in a newer version of Excel. Learn more: https://go.microsoft.com/fwlink/?linkid=870924
Comment:
    Items highlighted in yellow were updated to a linear curve. Update written equations and index value calculations.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<sst xmlns="http://schemas.openxmlformats.org/spreadsheetml/2006/main" count="1272" uniqueCount="431">
  <si>
    <t>DRAFT HELLBENDER SQT</t>
  </si>
  <si>
    <t>Notes</t>
  </si>
  <si>
    <t>Insert Aerial Photo of Project Area</t>
  </si>
  <si>
    <t>Version Last Updated:</t>
  </si>
  <si>
    <t>1. Users input values that are highlighted based on restoration potential</t>
  </si>
  <si>
    <t>2. Users select values from a pull-down menu</t>
  </si>
  <si>
    <t>3. Leave values blank for field values that were not measured</t>
  </si>
  <si>
    <t>Programmatic Goals</t>
  </si>
  <si>
    <t>Select:</t>
  </si>
  <si>
    <t>Expand on the programmatic goals of this project:</t>
  </si>
  <si>
    <t>Project Description</t>
  </si>
  <si>
    <t>Project Name:</t>
  </si>
  <si>
    <t>Project ID:</t>
  </si>
  <si>
    <t>State</t>
  </si>
  <si>
    <t>Ecoregion:</t>
  </si>
  <si>
    <t>River Basin:</t>
  </si>
  <si>
    <t>12-digit HUC:</t>
  </si>
  <si>
    <t>Reach Summary</t>
  </si>
  <si>
    <t>Worksheet Title</t>
  </si>
  <si>
    <t>Reach ID</t>
  </si>
  <si>
    <t>Reach Description</t>
  </si>
  <si>
    <t>Reach Break Criteria</t>
  </si>
  <si>
    <t>ECS</t>
  </si>
  <si>
    <t>PCS</t>
  </si>
  <si>
    <r>
      <rPr>
        <b/>
        <sz val="11"/>
        <color theme="1"/>
        <rFont val="Grotesque"/>
        <family val="2"/>
      </rPr>
      <t>Δ</t>
    </r>
    <r>
      <rPr>
        <b/>
        <sz val="11"/>
        <color theme="1"/>
        <rFont val="Calibri"/>
        <family val="2"/>
        <scheme val="minor"/>
      </rPr>
      <t>FF</t>
    </r>
  </si>
  <si>
    <t>DO NOT EDIT THIS ROW</t>
  </si>
  <si>
    <t>C4</t>
  </si>
  <si>
    <t>H7</t>
  </si>
  <si>
    <t>H8</t>
  </si>
  <si>
    <t>H16</t>
  </si>
  <si>
    <t>Quantification_Tool</t>
  </si>
  <si>
    <t>The Functional Lift Quantification Tool Credits:</t>
  </si>
  <si>
    <t>Morgan Harris</t>
  </si>
  <si>
    <t>Base spreadsheet developed &amp; provided by Will Harman, Stream Mechanics; Cidney Jones &amp; Sara Donatich, EPR</t>
  </si>
  <si>
    <t>Parameter and Metric Selection Guide</t>
  </si>
  <si>
    <t>The following table is provided to assist practitioners in selecting the appropriate parameters for each stream</t>
  </si>
  <si>
    <t>restoration project. All parameters would rarely, if ever, be used for a single project. The scenarios below show when each parameter could be</t>
  </si>
  <si>
    <r>
      <t>used. Note, the same parameters (and metrics) must be assessed for the existing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proposed condition. </t>
    </r>
  </si>
  <si>
    <t>ONLY complete SQT monitoring on Hellbender WLFW project with express landowner or land manager permission.</t>
  </si>
  <si>
    <t>If a landowner or land manager is uncombfortable with a certain parameter, it can be removed from the assessment.</t>
  </si>
  <si>
    <t>Functional Category</t>
  </si>
  <si>
    <t>Function-based Parameters</t>
  </si>
  <si>
    <t>Metric</t>
  </si>
  <si>
    <t>Metric Selection Instruction</t>
  </si>
  <si>
    <t>Hydrology</t>
  </si>
  <si>
    <t>Reach Runoff</t>
  </si>
  <si>
    <t>Land Use Coefficient</t>
  </si>
  <si>
    <r>
      <t xml:space="preserve">Required </t>
    </r>
    <r>
      <rPr>
        <sz val="10"/>
        <color theme="1"/>
        <rFont val="Calibri"/>
        <family val="2"/>
        <scheme val="minor"/>
      </rPr>
      <t>for all assessments.</t>
    </r>
  </si>
  <si>
    <t>Concentrated Flow Points (#/1000 LF)</t>
  </si>
  <si>
    <t>Hydraulics</t>
  </si>
  <si>
    <t>Floodplain Connectivity</t>
  </si>
  <si>
    <t>Bank Height Ratio</t>
  </si>
  <si>
    <t>Entrenchment Ratio</t>
  </si>
  <si>
    <r>
      <rPr>
        <b/>
        <sz val="10"/>
        <color theme="1"/>
        <rFont val="Calibri"/>
        <family val="2"/>
        <scheme val="minor"/>
      </rPr>
      <t>Optional</t>
    </r>
    <r>
      <rPr>
        <sz val="10"/>
        <color theme="1"/>
        <rFont val="Calibri"/>
        <family val="2"/>
        <scheme val="minor"/>
      </rPr>
      <t xml:space="preserve"> for BMP projects, </t>
    </r>
    <r>
      <rPr>
        <b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for projects with streambank stabilization component.</t>
    </r>
  </si>
  <si>
    <t>Geomorphology</t>
  </si>
  <si>
    <t>Large Woody Debris</t>
  </si>
  <si>
    <t>LWD Index</t>
  </si>
  <si>
    <r>
      <t>Required</t>
    </r>
    <r>
      <rPr>
        <sz val="10"/>
        <color theme="1"/>
        <rFont val="Calibri"/>
        <family val="2"/>
        <scheme val="minor"/>
      </rPr>
      <t xml:space="preserve"> for all assessments.</t>
    </r>
  </si>
  <si>
    <t>Lateral Migration</t>
  </si>
  <si>
    <t>Dominant BEHI/NBS</t>
  </si>
  <si>
    <t>Percent Streambank Erosion (%)</t>
  </si>
  <si>
    <t>Percent Streambank Armoring (%)</t>
  </si>
  <si>
    <t>Riparian Vegetation</t>
  </si>
  <si>
    <t>Forested Buffer Width (ft)</t>
  </si>
  <si>
    <r>
      <rPr>
        <b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for all assessments with forested floodplain reference conditions.</t>
    </r>
  </si>
  <si>
    <t>Buffer Width of Undisturbed Soil</t>
  </si>
  <si>
    <r>
      <t>Required</t>
    </r>
    <r>
      <rPr>
        <sz val="10"/>
        <color theme="1"/>
        <rFont val="Calibri"/>
        <family val="2"/>
        <scheme val="minor"/>
      </rPr>
      <t xml:space="preserve"> for all assessments. </t>
    </r>
  </si>
  <si>
    <t>Forested Buffer Gap (% of reach)</t>
  </si>
  <si>
    <t>Stem Density (#/acre)</t>
  </si>
  <si>
    <t>Bed Form Diversity</t>
  </si>
  <si>
    <t>Pool Spacing Ratio</t>
  </si>
  <si>
    <t>Pool Depth Ratio</t>
  </si>
  <si>
    <t>Percent Riffle</t>
  </si>
  <si>
    <t>Bed Material Characterization</t>
  </si>
  <si>
    <t>Percent Fines</t>
  </si>
  <si>
    <t>Substrate Embeddedness</t>
  </si>
  <si>
    <t>D50</t>
  </si>
  <si>
    <t>Cover Rock Density (#/10,000 sq ft)</t>
  </si>
  <si>
    <t>Available Nest Site Density (#/10,000 sq ft)</t>
  </si>
  <si>
    <t>Physicochemical</t>
  </si>
  <si>
    <t>Temperature</t>
  </si>
  <si>
    <t>Summer Daily Maximum  (°F)</t>
  </si>
  <si>
    <t>Optional</t>
  </si>
  <si>
    <t>Bacteria</t>
  </si>
  <si>
    <t>Fecal Coliform (Cfu/100 ml)</t>
  </si>
  <si>
    <t>Organic Matter</t>
  </si>
  <si>
    <t>Percent Shredders (%)</t>
  </si>
  <si>
    <t>Biology</t>
  </si>
  <si>
    <t>Hellbender Recruitment</t>
  </si>
  <si>
    <t>Larva, juvenile, or subadult presence</t>
  </si>
  <si>
    <t>Site Information and 
Reference Standard Stratification</t>
  </si>
  <si>
    <t>Key</t>
  </si>
  <si>
    <t>1. Users input values that are highlighted</t>
  </si>
  <si>
    <t>0.0-0.3 = Not Functioning</t>
  </si>
  <si>
    <t>0.31-0.69 = Functioning at Risk</t>
  </si>
  <si>
    <t>Reach ID:</t>
  </si>
  <si>
    <t>0.7 - 1.0 = Functioning</t>
  </si>
  <si>
    <t>Restoration Potential:</t>
  </si>
  <si>
    <t>Region:</t>
  </si>
  <si>
    <t>Explain the restoration potential of this reach based on the programmatic goals and catchment assessment results:</t>
  </si>
  <si>
    <t>FUNCTIONAL CHANGE SUMMARY</t>
  </si>
  <si>
    <t>Existing Stream Length (ft):</t>
  </si>
  <si>
    <t>Existing Condition Score (ECS)</t>
  </si>
  <si>
    <t>Proposed Stream Length (ft):</t>
  </si>
  <si>
    <t>Proposed Condition Score (PCS)</t>
  </si>
  <si>
    <t>Existing Stream Type:</t>
  </si>
  <si>
    <t>Change in Functional Condition (PCS - ECS)</t>
  </si>
  <si>
    <t>Reference Stream Type:</t>
  </si>
  <si>
    <t>Percent Condition Change</t>
  </si>
  <si>
    <t>Valley Type:</t>
  </si>
  <si>
    <t>Existing Stream Length (ft)</t>
  </si>
  <si>
    <t>Drainage Area (sqmi):</t>
  </si>
  <si>
    <t>Proposed Stream Length (ft)</t>
  </si>
  <si>
    <t>Explain the goals and objectives for this reach:</t>
  </si>
  <si>
    <t>Strahler Stream Order:</t>
  </si>
  <si>
    <t>Additional Stream Length (ft)</t>
  </si>
  <si>
    <t>Flow Type:</t>
  </si>
  <si>
    <t>Existing Functional Foot Score (FFS)</t>
  </si>
  <si>
    <t>Proposed Bed Material:</t>
  </si>
  <si>
    <t>Proposed Functional Foot Score (FFS)</t>
  </si>
  <si>
    <t>Stream Slope (%):</t>
  </si>
  <si>
    <t>Proposed Canopy Cover (%) at project closeout:</t>
  </si>
  <si>
    <r>
      <t>Functional Yield (</t>
    </r>
    <r>
      <rPr>
        <sz val="12"/>
        <color theme="1"/>
        <rFont val="Grotesque"/>
        <family val="2"/>
      </rPr>
      <t>∆</t>
    </r>
    <r>
      <rPr>
        <sz val="12"/>
        <color theme="1"/>
        <rFont val="Calibri"/>
        <family val="2"/>
        <scheme val="minor"/>
      </rPr>
      <t>FF/LF)</t>
    </r>
  </si>
  <si>
    <t>Stream Temperature:</t>
  </si>
  <si>
    <t>Existing Functional Percent of Reach</t>
  </si>
  <si>
    <t>Macroinvertebrate Data Collection Season:</t>
  </si>
  <si>
    <t>Proposed Functional Percent of Reach</t>
  </si>
  <si>
    <t>Macroinvertebrate Sampling Method:</t>
  </si>
  <si>
    <t>EXISTING CONDITION ASSESSMENT</t>
  </si>
  <si>
    <t>PROPOSED CONDITION ASSESSMENT</t>
  </si>
  <si>
    <t>Field Value</t>
  </si>
  <si>
    <t>Index Value</t>
  </si>
  <si>
    <t>Parameter</t>
  </si>
  <si>
    <t>Category</t>
  </si>
  <si>
    <t>Left Bank Forested Buffer Width (ft)</t>
  </si>
  <si>
    <t>Right Bank Forested Buffer Width (ft)</t>
  </si>
  <si>
    <t>Left Bank Buffer Width of Undisturbed Soil</t>
  </si>
  <si>
    <t>Right Bank Buffer Width of Undisturbed Soil</t>
  </si>
  <si>
    <t>Left Bank Forested Buffer Gap (% of reach)</t>
  </si>
  <si>
    <t>Right Bank Forested Buffer Gap (% of reach)</t>
  </si>
  <si>
    <t>Bed Material Charcterization</t>
  </si>
  <si>
    <t>CONDITION ASSESSMENT</t>
  </si>
  <si>
    <t>Year</t>
  </si>
  <si>
    <t>Time since as-built (yr)</t>
  </si>
  <si>
    <t>As-Built - 0</t>
  </si>
  <si>
    <t>Buffer Width of Undisturbed Soil (ft)</t>
  </si>
  <si>
    <t>Left Bank Stem Density (#/acre)</t>
  </si>
  <si>
    <t>Right Bank Stem Density (#/acre)</t>
  </si>
  <si>
    <t>Substrate Embeddedness (%)</t>
  </si>
  <si>
    <t>Index Values</t>
  </si>
  <si>
    <t>Left Bank Buffer Width of Undisturbed Soil (ft)</t>
  </si>
  <si>
    <t>Right Bank Buffer Width of Undisturbed Soil (ft)</t>
  </si>
  <si>
    <t>Function-Based Parameters</t>
  </si>
  <si>
    <t>Existing 
Parameter</t>
  </si>
  <si>
    <t>Proposed Parameter</t>
  </si>
  <si>
    <t>Bed Material Character..</t>
  </si>
  <si>
    <t>Organic Carbon</t>
  </si>
  <si>
    <t xml:space="preserve">Functional Category  </t>
  </si>
  <si>
    <t>Reach Condition Score</t>
  </si>
  <si>
    <t>Pre-project Stream Length (ft):</t>
  </si>
  <si>
    <t>Pre-project Condition Score (ECS)</t>
  </si>
  <si>
    <t>Year 5 Stream Length (ft):</t>
  </si>
  <si>
    <t>Year 5 Condition Score (PCS)</t>
  </si>
  <si>
    <t>Pre-project Stream Length (ft)</t>
  </si>
  <si>
    <t>Year 5 Stream Length (ft)</t>
  </si>
  <si>
    <t>Pre-project Functional Foot Score (FFS)</t>
  </si>
  <si>
    <t>Bed Material:</t>
  </si>
  <si>
    <t>Year 5 Functional Foot Score (FFS)</t>
  </si>
  <si>
    <t>Year 5 FFS - Existing FFS (∆FF)</t>
  </si>
  <si>
    <t>Pre-project Functional Percent of Reach</t>
  </si>
  <si>
    <t>Year 5 Functional Percent of Reach</t>
  </si>
  <si>
    <t>PRE-PROJECT CONDITION ASSESSMENT</t>
  </si>
  <si>
    <t>D84</t>
  </si>
  <si>
    <t>As-Built Stream Length (ft):</t>
  </si>
  <si>
    <t>As-Built Condition Score (PCS)</t>
  </si>
  <si>
    <t>As-Built Stream Length (ft)</t>
  </si>
  <si>
    <t>As-Built Functional Foot Score (FFS)</t>
  </si>
  <si>
    <t>As-Built Functional Percent of Reach</t>
  </si>
  <si>
    <t>AS-BUILT CONDITION ASSESSMENT</t>
  </si>
  <si>
    <t xml:space="preserve">This sheet provides the formulas used to calculate index values from the field values entered on the Quantification Tool worksheet.  Formulas are fit to known delineations between Functioning, Functioning-At-Risk and Not Functioning. </t>
  </si>
  <si>
    <t>Formulas are of the form: Y = aX + b  OR Y = aX^2 + bX + c, where Y is the index value and X is the field value.</t>
  </si>
  <si>
    <t>HYDROLOGY</t>
  </si>
  <si>
    <t>HYDRAULICS</t>
  </si>
  <si>
    <t>GEOMORPHOLOGY</t>
  </si>
  <si>
    <t>PHYSICOCHEMICAL</t>
  </si>
  <si>
    <t>BIOLOGY</t>
  </si>
  <si>
    <t>Bank Height Ratio (BHR)</t>
  </si>
  <si>
    <t xml:space="preserve">Summer Daily Maximum </t>
  </si>
  <si>
    <t>NC Biotic Index - Qual 4 - Mountains</t>
  </si>
  <si>
    <t>Coldwater</t>
  </si>
  <si>
    <t>Field</t>
  </si>
  <si>
    <t>Coolwater</t>
  </si>
  <si>
    <t>Index</t>
  </si>
  <si>
    <t xml:space="preserve">Coefficients - Y = a * X+ b </t>
  </si>
  <si>
    <t>NF &amp; FAR</t>
  </si>
  <si>
    <t>F</t>
  </si>
  <si>
    <t>Coefficients -</t>
  </si>
  <si>
    <t>Y = a * X + b</t>
  </si>
  <si>
    <t>nf</t>
  </si>
  <si>
    <t>far</t>
  </si>
  <si>
    <t>f</t>
  </si>
  <si>
    <t>a</t>
  </si>
  <si>
    <t xml:space="preserve">Coefficients - Y = a * X + b </t>
  </si>
  <si>
    <t>FAR</t>
  </si>
  <si>
    <t>NF</t>
  </si>
  <si>
    <t>b</t>
  </si>
  <si>
    <t>Coefficients - Y = a * X + b</t>
  </si>
  <si>
    <t>Entrenchment Ratio (ER) C Streams</t>
  </si>
  <si>
    <t>LWD # Pieces</t>
  </si>
  <si>
    <t>NC Biotic Index - Qual 4 - Piedmont</t>
  </si>
  <si>
    <t>Concentrated Flow Points</t>
  </si>
  <si>
    <t>Fecal Coliform Bacteria</t>
  </si>
  <si>
    <t xml:space="preserve">Coefficients - </t>
  </si>
  <si>
    <t>far&amp;ar</t>
  </si>
  <si>
    <t>Entrenchment Ratio (ER) E Streams</t>
  </si>
  <si>
    <t>Annual Runoff Volume</t>
  </si>
  <si>
    <t>Erosion Rate (ft/yr)</t>
  </si>
  <si>
    <t xml:space="preserve">Leaf Litter Processing Rate </t>
  </si>
  <si>
    <t>NC Biotic Index - Full Scale - Mountains</t>
  </si>
  <si>
    <t>Rising Limb</t>
  </si>
  <si>
    <t>Falling Limb</t>
  </si>
  <si>
    <t>Y = a * X^2 + b * X + c</t>
  </si>
  <si>
    <t>FAR &amp; F</t>
  </si>
  <si>
    <t>c</t>
  </si>
  <si>
    <t>Entrenchment Ratio (ER) B Streams</t>
  </si>
  <si>
    <t xml:space="preserve">Percent Shredders- Mountains &amp; DA &lt;= 5 Sq.Mi. </t>
  </si>
  <si>
    <t>NC Biotic Index - Full Scale - Piedmont</t>
  </si>
  <si>
    <t>Field - W/Sp</t>
  </si>
  <si>
    <t>Field - Su</t>
  </si>
  <si>
    <t>Field - Fall</t>
  </si>
  <si>
    <t>Winter/Spring</t>
  </si>
  <si>
    <t>Summer</t>
  </si>
  <si>
    <t>Fall</t>
  </si>
  <si>
    <t>Width/Depth Ratio State</t>
  </si>
  <si>
    <t>Percent Streambank Armoring</t>
  </si>
  <si>
    <t>NF and FAR</t>
  </si>
  <si>
    <t>Percent Shredders- Mountains &amp; 5 &lt; DA &lt; 10 Sq.Mi.</t>
  </si>
  <si>
    <t>NC Biotic Index - Full Scale - Coastal Plain</t>
  </si>
  <si>
    <t>Coefficients - Y = a  * X + b</t>
  </si>
  <si>
    <t>Rising limb</t>
  </si>
  <si>
    <t>Buffer Width - Colluvial or Confined Alluvial Valleys</t>
  </si>
  <si>
    <t>Percent Shredders- Mountains &amp; DA &gt;= 10 Sq.Mi.</t>
  </si>
  <si>
    <t>EPT Taxa Present - Qual 4/EPT - Mountains</t>
  </si>
  <si>
    <t>Buffer Width - Unconfined Alluvial Valleys</t>
  </si>
  <si>
    <t xml:space="preserve">Percent Shredders- Piedmont &amp; DA &lt;= 5 Sq.Mi. </t>
  </si>
  <si>
    <t>EPT Taxa Present - Qual 4/EPT - Piedmont</t>
  </si>
  <si>
    <t>Basal Area</t>
  </si>
  <si>
    <t>FAR-F</t>
  </si>
  <si>
    <t>Percent Shredders- Piedmont &amp; 5 &lt; DA &lt; 10 Sq.Mi.</t>
  </si>
  <si>
    <t>EPT Taxa Present - Qual 4/EPT - Coastal Plains</t>
  </si>
  <si>
    <t>Stem Density</t>
  </si>
  <si>
    <t>(based on NRCS 391 - Bare root confiers, hardwoods, shrubs cost scenario - 330*75% survival)</t>
  </si>
  <si>
    <t>Percent Shredders- Piedmont &amp; DA &gt;= 10 Sq.Mi.</t>
  </si>
  <si>
    <t>EPT Taxa Present - Full Scale - Mountains</t>
  </si>
  <si>
    <t>Canopy Gap</t>
  </si>
  <si>
    <t>based on NRCS SVAP 2</t>
  </si>
  <si>
    <t xml:space="preserve">Percent Shredders- Coastal &amp; DA &lt;= 5 Sq.Mi. </t>
  </si>
  <si>
    <t>EPT Taxa Present - Full Scale - Piedmont</t>
  </si>
  <si>
    <t>C</t>
  </si>
  <si>
    <t>Coefficients - Y = a * X^3 + b * X^2 + c * X + d</t>
  </si>
  <si>
    <t>Native Herbaceous Cover</t>
  </si>
  <si>
    <t>Percent Shredders- Coastal &amp; 5 &lt; DA &lt; 10 Sq.Mi.</t>
  </si>
  <si>
    <t>EPT Taxa Present - Full Scale - Coastal Plains</t>
  </si>
  <si>
    <t>Pool Spacing Ratio for A &amp; B Stream Types</t>
  </si>
  <si>
    <t>Percent Shredders- Coastal &amp; DA &gt;= 10 Sq.Mi.</t>
  </si>
  <si>
    <t>Coefficients - Y = a * X^2 + b* X + c</t>
  </si>
  <si>
    <t>NCIBI Score - French Broad, Hiwassee, Little Tennessee, New, and Watauga River basins</t>
  </si>
  <si>
    <t>Pool Spacing Ratio for Bc Stream Types</t>
  </si>
  <si>
    <t>Total Nitrogen</t>
  </si>
  <si>
    <t>Coefficients - Y = a * X^2 + b * X + c</t>
  </si>
  <si>
    <t>NF/FAR</t>
  </si>
  <si>
    <t>NCIBI Score - Broad, Catawba, Savannah, and Yadkin River basins</t>
  </si>
  <si>
    <t>Pool Spacing Ratio for C and E Stream Types</t>
  </si>
  <si>
    <t>Total Phosphorous</t>
  </si>
  <si>
    <t>NCIBI Score - Cape Fear, Neuse, Roanoke, and Tar-Pamlico River basins</t>
  </si>
  <si>
    <t>Specific Conductivity in Piedmont</t>
  </si>
  <si>
    <t>Pool Depth Ratio for A streams</t>
  </si>
  <si>
    <t>Pool Depth Ratio for B streams</t>
  </si>
  <si>
    <t>Specific Conductivity in Mountain Region</t>
  </si>
  <si>
    <t>Pool Depth Ratio for C streams</t>
  </si>
  <si>
    <t>FAR/F</t>
  </si>
  <si>
    <t>N/A</t>
  </si>
  <si>
    <t>Pool Depth Ratio E streams</t>
  </si>
  <si>
    <t>Percent Riffle for A streams</t>
  </si>
  <si>
    <t>Field &lt; 54</t>
  </si>
  <si>
    <t>Field &gt; 62</t>
  </si>
  <si>
    <t>Percent Riffle for B streams</t>
  </si>
  <si>
    <t>Field &lt; 53</t>
  </si>
  <si>
    <t>Field &gt; 61</t>
  </si>
  <si>
    <t>Percent Riffle for C streams</t>
  </si>
  <si>
    <t>Field &lt; 45</t>
  </si>
  <si>
    <t>Field &gt; 65</t>
  </si>
  <si>
    <t>Percent Riffle for E streams</t>
  </si>
  <si>
    <t>Field &lt; 43</t>
  </si>
  <si>
    <t>Field &gt; 63</t>
  </si>
  <si>
    <t xml:space="preserve">Coefficients  - Y = a * X + b </t>
  </si>
  <si>
    <t xml:space="preserve">Coefficients b - Y = a * X + b </t>
  </si>
  <si>
    <t>Cover Rock Density</t>
  </si>
  <si>
    <t xml:space="preserve">Coefficients b - Y = a * X - b </t>
  </si>
  <si>
    <t xml:space="preserve">Coefficients - Y = a * X - b </t>
  </si>
  <si>
    <t>Buffer Width of Undisturbed Soils (ft)</t>
  </si>
  <si>
    <t>55 ft = NRCS CPS 391 + 393 mins</t>
  </si>
  <si>
    <t>120 ft = NRCS 391 + 393 CSP enhancement mins</t>
  </si>
  <si>
    <t>NF + FAN</t>
  </si>
  <si>
    <t>Stream Type:</t>
  </si>
  <si>
    <t>A</t>
  </si>
  <si>
    <t>Ba</t>
  </si>
  <si>
    <t>B</t>
  </si>
  <si>
    <t>Bc</t>
  </si>
  <si>
    <t>Cb</t>
  </si>
  <si>
    <t>E</t>
  </si>
  <si>
    <t>Eb</t>
  </si>
  <si>
    <t>Fb</t>
  </si>
  <si>
    <t>G</t>
  </si>
  <si>
    <t>Gc</t>
  </si>
  <si>
    <t>D</t>
  </si>
  <si>
    <t>DA</t>
  </si>
  <si>
    <t>&lt;10 sq.mi</t>
  </si>
  <si>
    <t>&gt;10 sq.mi</t>
  </si>
  <si>
    <t>Silt/Clay</t>
  </si>
  <si>
    <t>Sand</t>
  </si>
  <si>
    <t>Gravel</t>
  </si>
  <si>
    <t>Cobble</t>
  </si>
  <si>
    <t>Boulder</t>
  </si>
  <si>
    <t>Bedrock</t>
  </si>
  <si>
    <t>Perennial</t>
  </si>
  <si>
    <t>Intermittent</t>
  </si>
  <si>
    <t>Ephemeral</t>
  </si>
  <si>
    <t>Dominant BEHI/NBS:</t>
  </si>
  <si>
    <t>L/VL</t>
  </si>
  <si>
    <t>L/L</t>
  </si>
  <si>
    <t>L/M</t>
  </si>
  <si>
    <t>L/H</t>
  </si>
  <si>
    <t>L/VH</t>
  </si>
  <si>
    <t>L/Ex</t>
  </si>
  <si>
    <t>M/VL</t>
  </si>
  <si>
    <t>M/L</t>
  </si>
  <si>
    <t>M/M</t>
  </si>
  <si>
    <t>M/H</t>
  </si>
  <si>
    <t>M/VH</t>
  </si>
  <si>
    <t>M/Ex</t>
  </si>
  <si>
    <t>H/VL</t>
  </si>
  <si>
    <t>H/L</t>
  </si>
  <si>
    <t>H/M</t>
  </si>
  <si>
    <t>H/H</t>
  </si>
  <si>
    <t>H/VH</t>
  </si>
  <si>
    <t>H/Ex</t>
  </si>
  <si>
    <t>VH/VL</t>
  </si>
  <si>
    <t>VH/L</t>
  </si>
  <si>
    <t>VH/M</t>
  </si>
  <si>
    <t>VH/H</t>
  </si>
  <si>
    <t>VH/VH</t>
  </si>
  <si>
    <t>VH/Ex</t>
  </si>
  <si>
    <t>Ex/VL</t>
  </si>
  <si>
    <t>Ex/L</t>
  </si>
  <si>
    <t>Ex/M</t>
  </si>
  <si>
    <t>Ex/H</t>
  </si>
  <si>
    <t>Ex/VH</t>
  </si>
  <si>
    <t>Ex/Ex</t>
  </si>
  <si>
    <t>Full</t>
  </si>
  <si>
    <t>Partial</t>
  </si>
  <si>
    <t>Blue Ridge</t>
  </si>
  <si>
    <t>Central Appalachian</t>
  </si>
  <si>
    <t>Interior Plateau</t>
  </si>
  <si>
    <t>Ridge and Valley</t>
  </si>
  <si>
    <t>Southwestern Appalachian</t>
  </si>
  <si>
    <t>Western Allegheny Plateau</t>
  </si>
  <si>
    <t>Yes/No:</t>
  </si>
  <si>
    <t>Yes</t>
  </si>
  <si>
    <t>No</t>
  </si>
  <si>
    <t>Programmatic Goals:</t>
  </si>
  <si>
    <t>Hellbender WLFW</t>
  </si>
  <si>
    <t>Conasauga WLFW</t>
  </si>
  <si>
    <t>Non-WLFW Hellbender</t>
  </si>
  <si>
    <t>Other</t>
  </si>
  <si>
    <t>AL</t>
  </si>
  <si>
    <t>GA</t>
  </si>
  <si>
    <t>NC</t>
  </si>
  <si>
    <t>TN</t>
  </si>
  <si>
    <t>VA</t>
  </si>
  <si>
    <t>WV</t>
  </si>
  <si>
    <t>Coosa - Tallapoosa</t>
  </si>
  <si>
    <t>French Broad - Holston</t>
  </si>
  <si>
    <t>Kanawha</t>
  </si>
  <si>
    <t>Lower Tennessee</t>
  </si>
  <si>
    <t>Middle Tennessee - Hiwassee</t>
  </si>
  <si>
    <t>Middle Tennessee - Elk</t>
  </si>
  <si>
    <t>Monongahela</t>
  </si>
  <si>
    <t>Upper Ohio - Beaver</t>
  </si>
  <si>
    <t>Upper Ohio - Little Kanawha</t>
  </si>
  <si>
    <t>Upper Tennessee</t>
  </si>
  <si>
    <t>Warmwater</t>
  </si>
  <si>
    <t>Catchment Condition:</t>
  </si>
  <si>
    <t>Poor</t>
  </si>
  <si>
    <t>Fair</t>
  </si>
  <si>
    <t>Good</t>
  </si>
  <si>
    <t>Data Collection Season:</t>
  </si>
  <si>
    <t>Colluvial</t>
  </si>
  <si>
    <t>Confined Alluvial</t>
  </si>
  <si>
    <t>Unconfined Alluvial</t>
  </si>
  <si>
    <t>Strahler Stream Order</t>
  </si>
  <si>
    <t>First</t>
  </si>
  <si>
    <t>Second</t>
  </si>
  <si>
    <t>Third</t>
  </si>
  <si>
    <t>Fourth or greater</t>
  </si>
  <si>
    <t>Qual 4 or EPT</t>
  </si>
  <si>
    <t>Full Scale</t>
  </si>
  <si>
    <t>Canopy Cover</t>
  </si>
  <si>
    <t>&gt; 20 %</t>
  </si>
  <si>
    <t>&lt; 20 %</t>
  </si>
  <si>
    <t>Larva, Juvenile, or Subadult</t>
  </si>
  <si>
    <t>Eggs</t>
  </si>
  <si>
    <t>&gt; 1 Adult</t>
  </si>
  <si>
    <t>1 Adult</t>
  </si>
  <si>
    <t>Absent</t>
  </si>
  <si>
    <t>5-YEAR CONDITION ASSESSMENT</t>
  </si>
  <si>
    <t>Intolerant Macros Index</t>
  </si>
  <si>
    <t>Macros</t>
  </si>
  <si>
    <t>Intolerant Macros Index (adapted from NRCS SVAP 2)</t>
  </si>
  <si>
    <t>Efficiency</t>
  </si>
  <si>
    <t>Project Cost Estimate</t>
  </si>
  <si>
    <t>Proposed Efficiency</t>
  </si>
  <si>
    <t>Actual Project Cost</t>
  </si>
  <si>
    <r>
      <t>As-Built FFS - Existing FFS (</t>
    </r>
    <r>
      <rPr>
        <sz val="12"/>
        <color theme="1"/>
        <rFont val="Grotesque"/>
        <family val="2"/>
      </rPr>
      <t>∆</t>
    </r>
    <r>
      <rPr>
        <sz val="12"/>
        <color theme="1"/>
        <rFont val="Calibri"/>
        <family val="2"/>
      </rPr>
      <t>FF)</t>
    </r>
  </si>
  <si>
    <r>
      <t>Proposed FFS - Existing FFS (</t>
    </r>
    <r>
      <rPr>
        <sz val="12"/>
        <color theme="1"/>
        <rFont val="Grotesque"/>
        <family val="2"/>
      </rPr>
      <t>∆</t>
    </r>
    <r>
      <rPr>
        <sz val="12"/>
        <color theme="1"/>
        <rFont val="Calibri"/>
        <family val="2"/>
      </rPr>
      <t>FF)</t>
    </r>
  </si>
  <si>
    <r>
      <rPr>
        <b/>
        <sz val="10"/>
        <color theme="1"/>
        <rFont val="Calibri"/>
        <family val="2"/>
        <scheme val="minor"/>
      </rPr>
      <t>DO NOT</t>
    </r>
    <r>
      <rPr>
        <sz val="10"/>
        <color theme="1"/>
        <rFont val="Calibri"/>
        <family val="2"/>
        <scheme val="minor"/>
      </rPr>
      <t xml:space="preserve"> measure projects where no erosion is present, </t>
    </r>
    <r>
      <rPr>
        <b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for projects with erosion present.</t>
    </r>
  </si>
  <si>
    <r>
      <rPr>
        <b/>
        <sz val="10"/>
        <color theme="1"/>
        <rFont val="Calibri"/>
        <family val="2"/>
        <scheme val="minor"/>
      </rPr>
      <t>DO NOT</t>
    </r>
    <r>
      <rPr>
        <sz val="10"/>
        <color theme="1"/>
        <rFont val="Calibri"/>
        <family val="2"/>
        <scheme val="minor"/>
      </rPr>
      <t xml:space="preserve"> measure for BMP-only projects, </t>
    </r>
    <r>
      <rPr>
        <b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for projects with streambank stabilization component.</t>
    </r>
  </si>
  <si>
    <t>Required</t>
  </si>
  <si>
    <r>
      <rPr>
        <b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when nest and cover rock augmentation is part of project or when significant imrpovements to sediment transport are expected in project reach with suitable substrate. </t>
    </r>
    <r>
      <rPr>
        <b/>
        <sz val="10"/>
        <color theme="1"/>
        <rFont val="Calibri"/>
        <family val="2"/>
        <scheme val="minor"/>
      </rPr>
      <t xml:space="preserve">Optional </t>
    </r>
    <r>
      <rPr>
        <sz val="10"/>
        <color theme="1"/>
        <rFont val="Calibri"/>
        <family val="2"/>
        <scheme val="minor"/>
      </rPr>
      <t xml:space="preserve">for all other project types. </t>
    </r>
    <r>
      <rPr>
        <b/>
        <sz val="10"/>
        <color theme="1"/>
        <rFont val="Calibri"/>
        <family val="2"/>
        <scheme val="minor"/>
      </rPr>
      <t>DO NOT</t>
    </r>
    <r>
      <rPr>
        <sz val="10"/>
        <color theme="1"/>
        <rFont val="Calibri"/>
        <family val="2"/>
        <scheme val="minor"/>
      </rPr>
      <t xml:space="preserve"> measure when working in streams too small to support Hellbender populations.</t>
    </r>
  </si>
  <si>
    <t>4. ENTER VALUES FROM THIS SHEET IN "As-Built" COLUMN ON QUANTIFICATION_TOOL SHEET ("Year Since As Built: As-Built-0")</t>
  </si>
  <si>
    <t>4. ENTER VALUES FROM THIS SHEET IN "5" COLUMN ON QUANTIFICATION_TOOL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</si>
</sst>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000"/>
    <numFmt numFmtId="166" formatCode="0.000000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Grotesque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Grotesque"/>
      <family val="2"/>
    </font>
    <font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6" xfId="0" applyBorder="1"/>
    <xf numFmtId="15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3" fillId="0" borderId="8" xfId="0" applyFont="1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4" borderId="12" xfId="0" applyFon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5" borderId="7" xfId="0" applyFill="1" applyBorder="1"/>
    <xf numFmtId="0" fontId="2" fillId="0" borderId="14" xfId="0" applyFont="1" applyBorder="1" applyAlignment="1">
      <alignment wrapText="1"/>
    </xf>
    <xf numFmtId="0" fontId="2" fillId="0" borderId="14" xfId="0" applyFont="1" applyBorder="1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6" borderId="7" xfId="0" applyFill="1" applyBorder="1" applyAlignment="1">
      <alignment wrapText="1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3" borderId="7" xfId="0" applyFill="1" applyBorder="1" applyAlignment="1" applyProtection="1">
      <alignment vertical="center" wrapText="1"/>
      <protection locked="0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0" fillId="7" borderId="7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/>
    </xf>
    <xf numFmtId="0" fontId="10" fillId="8" borderId="7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0" fontId="10" fillId="9" borderId="7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vertical="center"/>
    </xf>
    <xf numFmtId="0" fontId="10" fillId="10" borderId="7" xfId="0" applyFont="1" applyFill="1" applyBorder="1" applyAlignment="1">
      <alignment horizontal="left" vertical="center" wrapText="1"/>
    </xf>
    <xf numFmtId="0" fontId="11" fillId="10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vertical="center"/>
    </xf>
    <xf numFmtId="0" fontId="12" fillId="10" borderId="12" xfId="0" applyFont="1" applyFill="1" applyBorder="1" applyAlignment="1">
      <alignment vertical="center"/>
    </xf>
    <xf numFmtId="0" fontId="11" fillId="10" borderId="15" xfId="0" applyFont="1" applyFill="1" applyBorder="1" applyAlignment="1">
      <alignment vertical="center"/>
    </xf>
    <xf numFmtId="0" fontId="11" fillId="10" borderId="7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vertical="center"/>
    </xf>
    <xf numFmtId="0" fontId="10" fillId="10" borderId="15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vertical="center"/>
    </xf>
    <xf numFmtId="0" fontId="10" fillId="11" borderId="7" xfId="0" applyFont="1" applyFill="1" applyBorder="1" applyAlignment="1">
      <alignment horizontal="left" vertical="center" wrapText="1"/>
    </xf>
    <xf numFmtId="0" fontId="11" fillId="11" borderId="12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/>
    </xf>
    <xf numFmtId="9" fontId="3" fillId="0" borderId="7" xfId="1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0" fillId="0" borderId="7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8" borderId="1" xfId="0" applyFont="1" applyFill="1" applyBorder="1"/>
    <xf numFmtId="0" fontId="3" fillId="8" borderId="2" xfId="0" applyFont="1" applyFill="1" applyBorder="1"/>
    <xf numFmtId="0" fontId="3" fillId="3" borderId="15" xfId="0" applyFont="1" applyFill="1" applyBorder="1" applyAlignment="1" applyProtection="1">
      <alignment horizontal="center"/>
      <protection locked="0"/>
    </xf>
    <xf numFmtId="2" fontId="3" fillId="8" borderId="2" xfId="0" applyNumberFormat="1" applyFont="1" applyFill="1" applyBorder="1" applyAlignment="1">
      <alignment horizontal="center"/>
    </xf>
    <xf numFmtId="2" fontId="0" fillId="0" borderId="0" xfId="0" applyNumberFormat="1"/>
    <xf numFmtId="0" fontId="3" fillId="8" borderId="14" xfId="0" applyFont="1" applyFill="1" applyBorder="1" applyAlignment="1">
      <alignment horizontal="center" vertical="center"/>
    </xf>
    <xf numFmtId="0" fontId="3" fillId="8" borderId="9" xfId="0" applyFont="1" applyFill="1" applyBorder="1"/>
    <xf numFmtId="0" fontId="3" fillId="8" borderId="10" xfId="0" applyFont="1" applyFill="1" applyBorder="1"/>
    <xf numFmtId="0" fontId="3" fillId="3" borderId="14" xfId="0" applyFont="1" applyFill="1" applyBorder="1" applyAlignment="1" applyProtection="1">
      <alignment horizontal="center"/>
      <protection locked="0"/>
    </xf>
    <xf numFmtId="2" fontId="3" fillId="8" borderId="10" xfId="0" applyNumberFormat="1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/>
    </xf>
    <xf numFmtId="0" fontId="3" fillId="9" borderId="0" xfId="0" applyFont="1" applyFill="1"/>
    <xf numFmtId="0" fontId="3" fillId="3" borderId="12" xfId="0" applyFont="1" applyFill="1" applyBorder="1" applyAlignment="1" applyProtection="1">
      <alignment horizontal="center"/>
      <protection locked="0"/>
    </xf>
    <xf numFmtId="2" fontId="3" fillId="9" borderId="0" xfId="0" applyNumberFormat="1" applyFont="1" applyFill="1" applyAlignment="1">
      <alignment horizontal="center"/>
    </xf>
    <xf numFmtId="0" fontId="3" fillId="9" borderId="10" xfId="0" applyFont="1" applyFill="1" applyBorder="1"/>
    <xf numFmtId="0" fontId="3" fillId="9" borderId="14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left" vertical="center"/>
    </xf>
    <xf numFmtId="0" fontId="3" fillId="10" borderId="3" xfId="0" applyFont="1" applyFill="1" applyBorder="1"/>
    <xf numFmtId="0" fontId="3" fillId="10" borderId="5" xfId="0" applyFont="1" applyFill="1" applyBorder="1"/>
    <xf numFmtId="0" fontId="3" fillId="3" borderId="7" xfId="0" applyFont="1" applyFill="1" applyBorder="1" applyAlignment="1" applyProtection="1">
      <alignment horizontal="center"/>
      <protection locked="0"/>
    </xf>
    <xf numFmtId="2" fontId="3" fillId="10" borderId="5" xfId="0" applyNumberFormat="1" applyFont="1" applyFill="1" applyBorder="1" applyAlignment="1">
      <alignment horizontal="center"/>
    </xf>
    <xf numFmtId="2" fontId="3" fillId="10" borderId="15" xfId="0" applyNumberFormat="1" applyFont="1" applyFill="1" applyBorder="1" applyAlignment="1">
      <alignment horizontal="center" vertical="center"/>
    </xf>
    <xf numFmtId="2" fontId="3" fillId="10" borderId="4" xfId="0" applyNumberFormat="1" applyFont="1" applyFill="1" applyBorder="1" applyAlignment="1">
      <alignment horizontal="center"/>
    </xf>
    <xf numFmtId="2" fontId="3" fillId="10" borderId="7" xfId="0" applyNumberFormat="1" applyFont="1" applyFill="1" applyBorder="1" applyAlignment="1">
      <alignment horizontal="center" vertical="center"/>
    </xf>
    <xf numFmtId="0" fontId="3" fillId="10" borderId="0" xfId="0" applyFont="1" applyFill="1"/>
    <xf numFmtId="0" fontId="3" fillId="4" borderId="6" xfId="0" applyFont="1" applyFill="1" applyBorder="1" applyAlignment="1" applyProtection="1">
      <alignment horizontal="center"/>
      <protection locked="0"/>
    </xf>
    <xf numFmtId="2" fontId="3" fillId="10" borderId="12" xfId="0" applyNumberFormat="1" applyFont="1" applyFill="1" applyBorder="1" applyAlignment="1">
      <alignment horizontal="center"/>
    </xf>
    <xf numFmtId="2" fontId="3" fillId="10" borderId="12" xfId="0" applyNumberFormat="1" applyFont="1" applyFill="1" applyBorder="1" applyAlignment="1">
      <alignment horizontal="center" vertical="center"/>
    </xf>
    <xf numFmtId="0" fontId="3" fillId="10" borderId="6" xfId="0" applyFont="1" applyFill="1" applyBorder="1"/>
    <xf numFmtId="0" fontId="3" fillId="3" borderId="6" xfId="0" applyFont="1" applyFill="1" applyBorder="1" applyAlignment="1" applyProtection="1">
      <alignment horizontal="center"/>
      <protection locked="0"/>
    </xf>
    <xf numFmtId="0" fontId="18" fillId="10" borderId="0" xfId="0" applyFont="1" applyFill="1"/>
    <xf numFmtId="0" fontId="3" fillId="3" borderId="9" xfId="0" applyFont="1" applyFill="1" applyBorder="1" applyAlignment="1" applyProtection="1">
      <alignment horizontal="center"/>
      <protection locked="0"/>
    </xf>
    <xf numFmtId="2" fontId="3" fillId="10" borderId="14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13" xfId="0" applyFont="1" applyFill="1" applyBorder="1"/>
    <xf numFmtId="0" fontId="3" fillId="3" borderId="13" xfId="0" applyFont="1" applyFill="1" applyBorder="1" applyAlignment="1" applyProtection="1">
      <alignment horizontal="center"/>
      <protection locked="0"/>
    </xf>
    <xf numFmtId="2" fontId="3" fillId="10" borderId="0" xfId="0" applyNumberFormat="1" applyFont="1" applyFill="1" applyAlignment="1">
      <alignment horizontal="center"/>
    </xf>
    <xf numFmtId="0" fontId="3" fillId="10" borderId="8" xfId="0" applyFont="1" applyFill="1" applyBorder="1"/>
    <xf numFmtId="0" fontId="3" fillId="3" borderId="8" xfId="0" applyFont="1" applyFill="1" applyBorder="1" applyAlignment="1" applyProtection="1">
      <alignment horizontal="center"/>
      <protection locked="0"/>
    </xf>
    <xf numFmtId="2" fontId="3" fillId="10" borderId="0" xfId="0" applyNumberFormat="1" applyFont="1" applyFill="1" applyAlignment="1">
      <alignment horizontal="center" vertical="center"/>
    </xf>
    <xf numFmtId="0" fontId="3" fillId="3" borderId="8" xfId="1" applyNumberFormat="1" applyFont="1" applyFill="1" applyBorder="1" applyAlignment="1" applyProtection="1">
      <alignment horizontal="center"/>
      <protection locked="0"/>
    </xf>
    <xf numFmtId="0" fontId="3" fillId="10" borderId="15" xfId="0" applyFont="1" applyFill="1" applyBorder="1" applyAlignment="1">
      <alignment horizontal="left" vertical="center"/>
    </xf>
    <xf numFmtId="0" fontId="3" fillId="10" borderId="2" xfId="0" applyFont="1" applyFill="1" applyBorder="1"/>
    <xf numFmtId="2" fontId="19" fillId="10" borderId="2" xfId="0" applyNumberFormat="1" applyFont="1" applyFill="1" applyBorder="1" applyAlignment="1">
      <alignment horizontal="center" vertical="center"/>
    </xf>
    <xf numFmtId="2" fontId="3" fillId="10" borderId="2" xfId="0" applyNumberFormat="1" applyFont="1" applyFill="1" applyBorder="1" applyAlignment="1">
      <alignment horizontal="center" vertical="center"/>
    </xf>
    <xf numFmtId="0" fontId="0" fillId="10" borderId="14" xfId="0" applyFill="1" applyBorder="1" applyAlignment="1">
      <alignment vertical="center"/>
    </xf>
    <xf numFmtId="0" fontId="3" fillId="10" borderId="11" xfId="0" applyFont="1" applyFill="1" applyBorder="1"/>
    <xf numFmtId="0" fontId="3" fillId="3" borderId="11" xfId="0" applyFont="1" applyFill="1" applyBorder="1" applyAlignment="1" applyProtection="1">
      <alignment horizontal="center"/>
      <protection locked="0"/>
    </xf>
    <xf numFmtId="2" fontId="3" fillId="10" borderId="10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0" xfId="0" applyFont="1" applyFill="1"/>
    <xf numFmtId="2" fontId="3" fillId="11" borderId="5" xfId="0" applyNumberFormat="1" applyFont="1" applyFill="1" applyBorder="1" applyAlignment="1">
      <alignment horizontal="center"/>
    </xf>
    <xf numFmtId="2" fontId="3" fillId="11" borderId="15" xfId="0" applyNumberFormat="1" applyFont="1" applyFill="1" applyBorder="1" applyAlignment="1">
      <alignment horizontal="center"/>
    </xf>
    <xf numFmtId="2" fontId="3" fillId="11" borderId="7" xfId="0" applyNumberFormat="1" applyFont="1" applyFill="1" applyBorder="1" applyAlignment="1">
      <alignment horizontal="center" vertical="center"/>
    </xf>
    <xf numFmtId="0" fontId="3" fillId="11" borderId="4" xfId="0" applyFont="1" applyFill="1" applyBorder="1"/>
    <xf numFmtId="2" fontId="3" fillId="11" borderId="0" xfId="0" applyNumberFormat="1" applyFont="1" applyFill="1" applyAlignment="1">
      <alignment horizontal="center"/>
    </xf>
    <xf numFmtId="0" fontId="3" fillId="11" borderId="12" xfId="0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center"/>
    </xf>
    <xf numFmtId="0" fontId="3" fillId="12" borderId="7" xfId="0" applyFont="1" applyFill="1" applyBorder="1" applyAlignment="1">
      <alignment horizontal="left" vertical="center"/>
    </xf>
    <xf numFmtId="0" fontId="13" fillId="0" borderId="3" xfId="0" applyFont="1" applyBorder="1"/>
    <xf numFmtId="0" fontId="15" fillId="0" borderId="5" xfId="0" applyFont="1" applyBorder="1" applyAlignment="1">
      <alignment horizontal="right"/>
    </xf>
    <xf numFmtId="0" fontId="15" fillId="3" borderId="7" xfId="0" applyFont="1" applyFill="1" applyBorder="1" applyAlignment="1" applyProtection="1">
      <alignment horizontal="center"/>
      <protection locked="0"/>
    </xf>
    <xf numFmtId="0" fontId="13" fillId="0" borderId="9" xfId="0" applyFont="1" applyBorder="1"/>
    <xf numFmtId="0" fontId="15" fillId="0" borderId="11" xfId="0" applyFont="1" applyBorder="1" applyAlignment="1">
      <alignment horizontal="right"/>
    </xf>
    <xf numFmtId="0" fontId="3" fillId="10" borderId="10" xfId="0" applyFont="1" applyFill="1" applyBorder="1"/>
    <xf numFmtId="0" fontId="3" fillId="11" borderId="3" xfId="0" applyFont="1" applyFill="1" applyBorder="1"/>
    <xf numFmtId="0" fontId="3" fillId="11" borderId="5" xfId="0" applyFont="1" applyFill="1" applyBorder="1"/>
    <xf numFmtId="0" fontId="3" fillId="11" borderId="10" xfId="0" applyFont="1" applyFill="1" applyBorder="1"/>
    <xf numFmtId="0" fontId="3" fillId="12" borderId="7" xfId="0" applyFont="1" applyFill="1" applyBorder="1" applyAlignment="1">
      <alignment vertical="center"/>
    </xf>
    <xf numFmtId="0" fontId="0" fillId="0" borderId="10" xfId="0" applyBorder="1"/>
    <xf numFmtId="0" fontId="0" fillId="0" borderId="0" xfId="0" applyAlignment="1">
      <alignment vertical="center" wrapText="1"/>
    </xf>
    <xf numFmtId="0" fontId="15" fillId="0" borderId="14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left"/>
    </xf>
    <xf numFmtId="0" fontId="3" fillId="10" borderId="7" xfId="0" applyFont="1" applyFill="1" applyBorder="1" applyAlignment="1">
      <alignment horizontal="left"/>
    </xf>
    <xf numFmtId="0" fontId="3" fillId="16" borderId="7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" fillId="0" borderId="8" xfId="0" applyFont="1" applyBorder="1"/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2" fontId="0" fillId="0" borderId="17" xfId="2" applyNumberFormat="1" applyFont="1" applyFill="1" applyBorder="1" applyAlignment="1">
      <alignment horizontal="right" vertical="center"/>
    </xf>
    <xf numFmtId="0" fontId="0" fillId="0" borderId="17" xfId="2" applyFont="1" applyFill="1" applyBorder="1" applyAlignment="1">
      <alignment horizontal="right" vertical="center"/>
    </xf>
    <xf numFmtId="1" fontId="0" fillId="0" borderId="18" xfId="2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/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2" fontId="0" fillId="19" borderId="20" xfId="0" applyNumberFormat="1" applyFill="1" applyBorder="1" applyAlignment="1">
      <alignment horizontal="right" vertical="center" wrapText="1"/>
    </xf>
    <xf numFmtId="2" fontId="0" fillId="6" borderId="20" xfId="0" applyNumberFormat="1" applyFill="1" applyBorder="1" applyAlignment="1">
      <alignment horizontal="right" vertical="center" wrapText="1"/>
    </xf>
    <xf numFmtId="2" fontId="0" fillId="20" borderId="20" xfId="0" applyNumberFormat="1" applyFill="1" applyBorder="1" applyAlignment="1">
      <alignment horizontal="right" vertical="center" wrapText="1"/>
    </xf>
    <xf numFmtId="2" fontId="0" fillId="20" borderId="21" xfId="0" applyNumberFormat="1" applyFill="1" applyBorder="1" applyAlignment="1">
      <alignment horizontal="right" vertical="center" wrapText="1"/>
    </xf>
    <xf numFmtId="2" fontId="0" fillId="19" borderId="20" xfId="0" applyNumberFormat="1" applyFill="1" applyBorder="1" applyAlignment="1">
      <alignment vertical="center" wrapText="1"/>
    </xf>
    <xf numFmtId="2" fontId="0" fillId="6" borderId="20" xfId="0" applyNumberFormat="1" applyFill="1" applyBorder="1" applyAlignment="1">
      <alignment vertical="center" wrapText="1"/>
    </xf>
    <xf numFmtId="2" fontId="0" fillId="6" borderId="20" xfId="0" applyNumberFormat="1" applyFill="1" applyBorder="1"/>
    <xf numFmtId="2" fontId="0" fillId="20" borderId="20" xfId="0" applyNumberFormat="1" applyFill="1" applyBorder="1" applyAlignment="1">
      <alignment vertical="center" wrapText="1"/>
    </xf>
    <xf numFmtId="2" fontId="0" fillId="20" borderId="21" xfId="0" applyNumberFormat="1" applyFill="1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19" borderId="20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20" borderId="20" xfId="0" applyFill="1" applyBorder="1" applyAlignment="1">
      <alignment vertical="center" wrapText="1"/>
    </xf>
    <xf numFmtId="0" fontId="0" fillId="20" borderId="21" xfId="0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left"/>
    </xf>
    <xf numFmtId="0" fontId="21" fillId="0" borderId="0" xfId="0" applyFont="1"/>
    <xf numFmtId="0" fontId="5" fillId="0" borderId="0" xfId="0" applyFont="1" applyAlignment="1">
      <alignment horizontal="center"/>
    </xf>
    <xf numFmtId="165" fontId="2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1" fontId="0" fillId="0" borderId="8" xfId="2" applyNumberFormat="1" applyFont="1" applyFill="1" applyBorder="1" applyAlignment="1">
      <alignment horizontal="right" vertical="center"/>
    </xf>
    <xf numFmtId="2" fontId="5" fillId="0" borderId="17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" fontId="5" fillId="0" borderId="17" xfId="0" applyNumberFormat="1" applyFont="1" applyBorder="1" applyAlignment="1">
      <alignment vertical="center" wrapText="1"/>
    </xf>
    <xf numFmtId="1" fontId="0" fillId="0" borderId="0" xfId="0" applyNumberFormat="1"/>
    <xf numFmtId="1" fontId="0" fillId="0" borderId="8" xfId="0" applyNumberFormat="1" applyBorder="1"/>
    <xf numFmtId="1" fontId="0" fillId="0" borderId="17" xfId="0" applyNumberForma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6" borderId="0" xfId="0" applyFill="1"/>
    <xf numFmtId="0" fontId="1" fillId="0" borderId="0" xfId="0" applyFont="1" applyAlignment="1">
      <alignment vertical="center"/>
    </xf>
    <xf numFmtId="164" fontId="0" fillId="0" borderId="17" xfId="0" applyNumberForma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23" xfId="0" applyNumberFormat="1" applyBorder="1" applyAlignment="1">
      <alignment horizontal="right" vertical="center" wrapText="1"/>
    </xf>
    <xf numFmtId="164" fontId="0" fillId="0" borderId="23" xfId="0" applyNumberFormat="1" applyBorder="1" applyAlignment="1">
      <alignment vertical="center" wrapText="1"/>
    </xf>
    <xf numFmtId="0" fontId="0" fillId="21" borderId="0" xfId="0" applyFill="1"/>
    <xf numFmtId="0" fontId="1" fillId="21" borderId="0" xfId="0" applyFont="1" applyFill="1"/>
    <xf numFmtId="0" fontId="1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9" xfId="0" applyFont="1" applyBorder="1" applyAlignment="1">
      <alignment vertical="center" wrapText="1"/>
    </xf>
    <xf numFmtId="2" fontId="1" fillId="19" borderId="20" xfId="0" applyNumberFormat="1" applyFont="1" applyFill="1" applyBorder="1" applyAlignment="1">
      <alignment vertical="center" wrapText="1"/>
    </xf>
    <xf numFmtId="2" fontId="1" fillId="6" borderId="20" xfId="0" applyNumberFormat="1" applyFont="1" applyFill="1" applyBorder="1" applyAlignment="1">
      <alignment vertical="center" wrapText="1"/>
    </xf>
    <xf numFmtId="2" fontId="1" fillId="20" borderId="20" xfId="0" applyNumberFormat="1" applyFont="1" applyFill="1" applyBorder="1" applyAlignment="1">
      <alignment vertical="center" wrapText="1"/>
    </xf>
    <xf numFmtId="2" fontId="1" fillId="20" borderId="21" xfId="0" applyNumberFormat="1" applyFont="1" applyFill="1" applyBorder="1" applyAlignment="1">
      <alignment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65" fontId="0" fillId="0" borderId="17" xfId="0" applyNumberFormat="1" applyBorder="1"/>
    <xf numFmtId="166" fontId="0" fillId="0" borderId="0" xfId="0" applyNumberFormat="1"/>
    <xf numFmtId="164" fontId="0" fillId="19" borderId="20" xfId="0" applyNumberFormat="1" applyFill="1" applyBorder="1" applyAlignment="1">
      <alignment vertical="center" wrapText="1"/>
    </xf>
    <xf numFmtId="164" fontId="0" fillId="20" borderId="21" xfId="0" applyNumberFormat="1" applyFill="1" applyBorder="1" applyAlignment="1">
      <alignment vertical="center" wrapText="1"/>
    </xf>
    <xf numFmtId="165" fontId="5" fillId="0" borderId="0" xfId="0" applyNumberFormat="1" applyFont="1"/>
    <xf numFmtId="11" fontId="0" fillId="0" borderId="0" xfId="0" applyNumberFormat="1"/>
    <xf numFmtId="164" fontId="5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19" borderId="10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20" borderId="10" xfId="0" applyFill="1" applyBorder="1" applyAlignment="1">
      <alignment vertical="center" wrapText="1"/>
    </xf>
    <xf numFmtId="0" fontId="0" fillId="20" borderId="11" xfId="0" applyFill="1" applyBorder="1" applyAlignment="1">
      <alignment vertical="center" wrapText="1"/>
    </xf>
    <xf numFmtId="0" fontId="0" fillId="6" borderId="0" xfId="0" applyFill="1" applyAlignment="1">
      <alignment horizontal="center"/>
    </xf>
    <xf numFmtId="167" fontId="0" fillId="0" borderId="17" xfId="0" applyNumberFormat="1" applyBorder="1" applyAlignment="1">
      <alignment vertical="center" wrapText="1"/>
    </xf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vertical="center"/>
    </xf>
    <xf numFmtId="0" fontId="0" fillId="20" borderId="21" xfId="0" applyFill="1" applyBorder="1"/>
    <xf numFmtId="0" fontId="0" fillId="6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17" xfId="0" applyNumberFormat="1" applyBorder="1" applyAlignment="1">
      <alignment vertical="center" wrapText="1"/>
    </xf>
    <xf numFmtId="2" fontId="0" fillId="0" borderId="18" xfId="0" applyNumberFormat="1" applyBorder="1" applyAlignment="1">
      <alignment vertical="center" wrapText="1"/>
    </xf>
    <xf numFmtId="0" fontId="0" fillId="0" borderId="8" xfId="0" applyBorder="1" applyAlignment="1">
      <alignment horizontal="center"/>
    </xf>
    <xf numFmtId="1" fontId="0" fillId="0" borderId="17" xfId="0" applyNumberFormat="1" applyBorder="1"/>
    <xf numFmtId="0" fontId="0" fillId="18" borderId="0" xfId="0" applyFill="1"/>
    <xf numFmtId="0" fontId="0" fillId="18" borderId="0" xfId="0" applyFill="1" applyAlignment="1">
      <alignment horizontal="left"/>
    </xf>
    <xf numFmtId="2" fontId="3" fillId="9" borderId="14" xfId="0" applyNumberFormat="1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2" fontId="3" fillId="12" borderId="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3" fillId="12" borderId="4" xfId="0" applyFont="1" applyFill="1" applyBorder="1"/>
    <xf numFmtId="0" fontId="3" fillId="12" borderId="5" xfId="0" applyFont="1" applyFill="1" applyBorder="1"/>
    <xf numFmtId="2" fontId="3" fillId="12" borderId="4" xfId="0" applyNumberFormat="1" applyFont="1" applyFill="1" applyBorder="1" applyAlignment="1">
      <alignment horizontal="center"/>
    </xf>
    <xf numFmtId="0" fontId="3" fillId="8" borderId="13" xfId="0" applyFont="1" applyFill="1" applyBorder="1"/>
    <xf numFmtId="0" fontId="3" fillId="8" borderId="11" xfId="0" applyFont="1" applyFill="1" applyBorder="1"/>
    <xf numFmtId="0" fontId="3" fillId="9" borderId="8" xfId="0" applyFont="1" applyFill="1" applyBorder="1"/>
    <xf numFmtId="0" fontId="3" fillId="9" borderId="11" xfId="0" applyFont="1" applyFill="1" applyBorder="1"/>
    <xf numFmtId="0" fontId="18" fillId="10" borderId="8" xfId="0" applyFont="1" applyFill="1" applyBorder="1"/>
    <xf numFmtId="0" fontId="3" fillId="12" borderId="15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8" xfId="0" applyFont="1" applyFill="1" applyBorder="1"/>
    <xf numFmtId="0" fontId="3" fillId="12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11" fillId="8" borderId="15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left" vertical="center" wrapText="1"/>
    </xf>
    <xf numFmtId="0" fontId="11" fillId="10" borderId="12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 wrapText="1"/>
    </xf>
    <xf numFmtId="0" fontId="11" fillId="11" borderId="15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7" xfId="0" applyFont="1" applyFill="1" applyBorder="1"/>
    <xf numFmtId="0" fontId="2" fillId="1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4" borderId="7" xfId="0" applyFont="1" applyFill="1" applyBorder="1"/>
    <xf numFmtId="0" fontId="2" fillId="14" borderId="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3" fillId="0" borderId="7" xfId="0" applyFont="1" applyBorder="1"/>
    <xf numFmtId="0" fontId="2" fillId="15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3" fillId="9" borderId="15" xfId="0" applyNumberFormat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3" fillId="10" borderId="15" xfId="0" applyNumberFormat="1" applyFont="1" applyFill="1" applyBorder="1" applyAlignment="1">
      <alignment horizontal="center" vertical="center"/>
    </xf>
    <xf numFmtId="2" fontId="3" fillId="10" borderId="12" xfId="0" applyNumberFormat="1" applyFont="1" applyFill="1" applyBorder="1" applyAlignment="1">
      <alignment horizontal="center" vertical="center"/>
    </xf>
    <xf numFmtId="2" fontId="3" fillId="10" borderId="14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2" fontId="3" fillId="8" borderId="15" xfId="0" applyNumberFormat="1" applyFont="1" applyFill="1" applyBorder="1" applyAlignment="1">
      <alignment horizontal="center" vertical="center"/>
    </xf>
    <xf numFmtId="2" fontId="3" fillId="8" borderId="14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2" fontId="3" fillId="9" borderId="14" xfId="0" applyNumberFormat="1" applyFont="1" applyFill="1" applyBorder="1" applyAlignment="1">
      <alignment horizontal="center" vertical="center"/>
    </xf>
    <xf numFmtId="2" fontId="3" fillId="12" borderId="15" xfId="0" applyNumberFormat="1" applyFont="1" applyFill="1" applyBorder="1" applyAlignment="1">
      <alignment horizontal="center" vertical="center"/>
    </xf>
    <xf numFmtId="2" fontId="3" fillId="12" borderId="14" xfId="0" applyNumberFormat="1" applyFont="1" applyFill="1" applyBorder="1" applyAlignment="1">
      <alignment horizontal="center" vertical="center"/>
    </xf>
    <xf numFmtId="2" fontId="3" fillId="12" borderId="12" xfId="0" applyNumberFormat="1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2" fontId="3" fillId="11" borderId="7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12" borderId="7" xfId="0" applyFont="1" applyFill="1" applyBorder="1" applyAlignment="1">
      <alignment horizontal="left" vertical="center"/>
    </xf>
    <xf numFmtId="2" fontId="0" fillId="12" borderId="7" xfId="0" applyNumberForma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2" fontId="0" fillId="12" borderId="15" xfId="0" applyNumberFormat="1" applyFill="1" applyBorder="1" applyAlignment="1">
      <alignment horizontal="center" vertical="center"/>
    </xf>
    <xf numFmtId="2" fontId="0" fillId="12" borderId="14" xfId="0" applyNumberForma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left" vertical="center"/>
    </xf>
    <xf numFmtId="2" fontId="3" fillId="10" borderId="8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13" xfId="0" applyFont="1" applyFill="1" applyBorder="1" applyAlignment="1">
      <alignment horizontal="left" vertical="center"/>
    </xf>
    <xf numFmtId="0" fontId="3" fillId="12" borderId="10" xfId="0" applyFont="1" applyFill="1" applyBorder="1" applyAlignment="1">
      <alignment horizontal="left" vertical="center"/>
    </xf>
    <xf numFmtId="0" fontId="3" fillId="12" borderId="11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left" vertical="center"/>
    </xf>
    <xf numFmtId="0" fontId="3" fillId="12" borderId="14" xfId="0" applyFont="1" applyFill="1" applyBorder="1" applyAlignment="1">
      <alignment horizontal="left" vertical="center"/>
    </xf>
    <xf numFmtId="0" fontId="3" fillId="11" borderId="14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3" fillId="12" borderId="1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3" fillId="1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left" wrapText="1"/>
    </xf>
    <xf numFmtId="0" fontId="0" fillId="17" borderId="2" xfId="0" applyFill="1" applyBorder="1" applyAlignment="1">
      <alignment horizontal="left" wrapText="1"/>
    </xf>
    <xf numFmtId="0" fontId="0" fillId="17" borderId="13" xfId="0" applyFill="1" applyBorder="1" applyAlignment="1">
      <alignment horizontal="left" wrapText="1"/>
    </xf>
    <xf numFmtId="0" fontId="0" fillId="17" borderId="9" xfId="0" applyFill="1" applyBorder="1" applyAlignment="1">
      <alignment horizontal="left" wrapText="1"/>
    </xf>
    <xf numFmtId="0" fontId="0" fillId="17" borderId="10" xfId="0" applyFill="1" applyBorder="1" applyAlignment="1">
      <alignment horizontal="left" wrapText="1"/>
    </xf>
    <xf numFmtId="0" fontId="0" fillId="17" borderId="11" xfId="0" applyFill="1" applyBorder="1" applyAlignment="1">
      <alignment horizontal="left" wrapText="1"/>
    </xf>
    <xf numFmtId="2" fontId="3" fillId="12" borderId="7" xfId="0" applyNumberFormat="1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12" xfId="0" applyFont="1" applyFill="1" applyBorder="1" applyAlignment="1">
      <alignment horizontal="left" vertical="center"/>
    </xf>
    <xf numFmtId="2" fontId="3" fillId="11" borderId="1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4" fontId="5" fillId="0" borderId="7" xfId="3" applyFont="1" applyBorder="1" applyAlignment="1">
      <alignment horizontal="center"/>
    </xf>
    <xf numFmtId="9" fontId="5" fillId="0" borderId="7" xfId="1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wrapText="1"/>
    </xf>
    <xf numFmtId="0" fontId="2" fillId="15" borderId="3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11" fillId="12" borderId="11" xfId="0" applyFont="1" applyFill="1" applyBorder="1" applyAlignment="1">
      <alignment horizontal="left" vertical="center" wrapText="1"/>
    </xf>
    <xf numFmtId="0" fontId="11" fillId="12" borderId="13" xfId="0" applyFont="1" applyFill="1" applyBorder="1" applyAlignment="1">
      <alignment horizontal="left" vertical="center" wrapText="1"/>
    </xf>
    <xf numFmtId="0" fontId="11" fillId="12" borderId="7" xfId="0" applyFont="1" applyFill="1" applyBorder="1" applyAlignment="1">
      <alignment horizontal="left" vertical="center"/>
    </xf>
    <xf numFmtId="0" fontId="11" fillId="12" borderId="7" xfId="0" applyFont="1" applyFill="1" applyBorder="1"/>
    <xf numFmtId="0" fontId="11" fillId="12" borderId="7" xfId="0" applyFont="1" applyFill="1" applyBorder="1" applyAlignment="1">
      <alignment horizontal="center"/>
    </xf>
    <xf numFmtId="0" fontId="10" fillId="12" borderId="5" xfId="0" applyFont="1" applyFill="1" applyBorder="1"/>
    <xf numFmtId="0" fontId="10" fillId="10" borderId="7" xfId="0" applyFont="1" applyFill="1" applyBorder="1" applyAlignment="1">
      <alignment vertical="center" wrapText="1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</cellXfs>
  <cellStyles count="4">
    <cellStyle name="40% - Accent1" xfId="2" builtinId="31"/>
    <cellStyle name="Currency" xfId="3" builtinId="4"/>
    <cellStyle name="Normal" xfId="0" builtinId="0"/>
    <cellStyle name="Percent" xfId="1" builtinId="5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ont>
        <strike val="0"/>
        <color auto="1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Bank Height Ratio (BHR)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BHR</c:v>
          </c:tx>
          <c:spPr>
            <a:ln>
              <a:noFill/>
            </a:ln>
          </c:spPr>
          <c:marker>
            <c:symbol val="circle"/>
            <c:size val="5"/>
            <c:spPr>
              <a:ln>
                <a:solidFill>
                  <a:schemeClr val="accent1"/>
                </a:solidFill>
              </a:ln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1000000000000002"/>
            <c:dispRSqr val="0"/>
            <c:dispEq val="1"/>
            <c:trendlineLbl>
              <c:layout>
                <c:manualLayout>
                  <c:x val="-5.7337782229159515E-2"/>
                  <c:y val="-0.45744131092511209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Curves'!$L$10:$Q$10</c:f>
              <c:numCache>
                <c:formatCode>General</c:formatCode>
                <c:ptCount val="6"/>
                <c:pt idx="2">
                  <c:v>1.5</c:v>
                </c:pt>
                <c:pt idx="5">
                  <c:v>1</c:v>
                </c:pt>
              </c:numCache>
            </c:numRef>
          </c:xVal>
          <c:yVal>
            <c:numRef>
              <c:f>'Reference Curves'!$L$11:$Q$11</c:f>
              <c:numCache>
                <c:formatCode>0.00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1-4525-855A-74657E00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254728"/>
        <c:axId val="419247280"/>
      </c:scatterChart>
      <c:valAx>
        <c:axId val="419254728"/>
        <c:scaling>
          <c:orientation val="minMax"/>
          <c:max val="1.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247280"/>
        <c:crosses val="autoZero"/>
        <c:crossBetween val="midCat"/>
      </c:valAx>
      <c:valAx>
        <c:axId val="4192472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</a:t>
                </a:r>
                <a:r>
                  <a:rPr lang="en-US" sz="1100" baseline="0"/>
                  <a:t> Value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2.5144911728220403E-2"/>
              <c:y val="0.39551781801951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2547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</a:t>
            </a:r>
            <a:r>
              <a:rPr lang="en-US" baseline="0"/>
              <a:t> for C Streams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3099610363769624"/>
                  <c:y val="0.115354532887457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Curves'!$L$44:$P$44</c:f>
              <c:numCache>
                <c:formatCode>General</c:formatCode>
                <c:ptCount val="5"/>
                <c:pt idx="0">
                  <c:v>1</c:v>
                </c:pt>
                <c:pt idx="4">
                  <c:v>2.2000000000000002</c:v>
                </c:pt>
              </c:numCache>
            </c:numRef>
          </c:xVal>
          <c:yVal>
            <c:numRef>
              <c:f>'Reference Curves'!$L$45:$P$45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3-48ED-86F3-C3B3C29BB97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6576083769090969E-2"/>
                  <c:y val="7.85955611608125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Curves'!$P$44:$Q$44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7.3</c:v>
                </c:pt>
              </c:numCache>
            </c:numRef>
          </c:xVal>
          <c:yVal>
            <c:numRef>
              <c:f>'Reference Curves'!$P$45:$Q$45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53-48ED-86F3-C3B3C29B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6976"/>
        <c:axId val="363177368"/>
      </c:scatterChart>
      <c:valAx>
        <c:axId val="36317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7368"/>
        <c:crosses val="autoZero"/>
        <c:crossBetween val="midCat"/>
      </c:valAx>
      <c:valAx>
        <c:axId val="363177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 for B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4783553386052548"/>
                  <c:y val="0.130868431295394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Curves'!$L$112:$P$112</c:f>
              <c:numCache>
                <c:formatCode>General</c:formatCode>
                <c:ptCount val="5"/>
                <c:pt idx="0">
                  <c:v>1</c:v>
                </c:pt>
                <c:pt idx="4">
                  <c:v>1.4</c:v>
                </c:pt>
              </c:numCache>
            </c:numRef>
          </c:xVal>
          <c:yVal>
            <c:numRef>
              <c:f>'Reference Curves'!$L$113:$P$113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D5-4D77-96FE-CBCCB1403C9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748772719740653"/>
                  <c:y val="1.17636913974171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Curves'!$P$112:$Q$112</c:f>
              <c:numCache>
                <c:formatCode>General</c:formatCode>
                <c:ptCount val="2"/>
                <c:pt idx="0">
                  <c:v>1.4</c:v>
                </c:pt>
                <c:pt idx="1">
                  <c:v>2</c:v>
                </c:pt>
              </c:numCache>
            </c:numRef>
          </c:xVal>
          <c:yVal>
            <c:numRef>
              <c:f>'Reference Curves'!$P$113:$Q$113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D5-4D77-96FE-CBCCB140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6192"/>
        <c:axId val="363178936"/>
      </c:scatterChart>
      <c:valAx>
        <c:axId val="363176192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8936"/>
        <c:crosses val="autoZero"/>
        <c:crossBetween val="midCat"/>
      </c:valAx>
      <c:valAx>
        <c:axId val="3631789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LWDI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Curves'!$U$13</c:f>
              <c:strCache>
                <c:ptCount val="1"/>
                <c:pt idx="0">
                  <c:v>NF &amp; FAR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9034127660838904"/>
                  <c:y val="0.20976357180695876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Curves'!$U$10:$Y$10</c:f>
              <c:numCache>
                <c:formatCode>General</c:formatCode>
                <c:ptCount val="5"/>
                <c:pt idx="0">
                  <c:v>0</c:v>
                </c:pt>
                <c:pt idx="4">
                  <c:v>355</c:v>
                </c:pt>
              </c:numCache>
            </c:numRef>
          </c:xVal>
          <c:yVal>
            <c:numRef>
              <c:f>'Reference Curves'!$U$11:$Y$11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3-4688-B66E-A94A8688EF08}"/>
            </c:ext>
          </c:extLst>
        </c:ser>
        <c:ser>
          <c:idx val="1"/>
          <c:order val="1"/>
          <c:tx>
            <c:strRef>
              <c:f>'Reference Curves'!$V$13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1943112230754432E-2"/>
                  <c:y val="0.15571479751378001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Curves'!$Y$10:$Z$10</c:f>
              <c:numCache>
                <c:formatCode>General</c:formatCode>
                <c:ptCount val="2"/>
                <c:pt idx="0">
                  <c:v>355</c:v>
                </c:pt>
                <c:pt idx="1">
                  <c:v>731</c:v>
                </c:pt>
              </c:numCache>
            </c:numRef>
          </c:xVal>
          <c:yVal>
            <c:numRef>
              <c:f>'Reference Curves'!$Y$11:$Z$11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63-4688-B66E-A94A8688E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9720"/>
        <c:axId val="363174232"/>
      </c:scatterChart>
      <c:valAx>
        <c:axId val="36317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Field Value (Unitless)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4232"/>
        <c:crosses val="autoZero"/>
        <c:crossBetween val="midCat"/>
      </c:valAx>
      <c:valAx>
        <c:axId val="363174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9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Spacing Ratio for A &amp; B Stream Types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9.8693880798947531E-2"/>
                  <c:y val="-0.251330715709626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Curves'!$U$384:$Y$384</c:f>
              <c:numCache>
                <c:formatCode>General</c:formatCode>
                <c:ptCount val="5"/>
                <c:pt idx="0">
                  <c:v>6.5</c:v>
                </c:pt>
                <c:pt idx="4">
                  <c:v>5</c:v>
                </c:pt>
              </c:numCache>
            </c:numRef>
          </c:xVal>
          <c:yVal>
            <c:numRef>
              <c:f>'Reference Curves'!$U$385:$Y$385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B-4B8F-B817-172431ED2B81}"/>
            </c:ext>
          </c:extLst>
        </c:ser>
        <c:ser>
          <c:idx val="1"/>
          <c:order val="1"/>
          <c:tx>
            <c:strRef>
              <c:f>'Reference Curves'!$Y$384:$Z$384</c:f>
              <c:strCache>
                <c:ptCount val="2"/>
                <c:pt idx="0">
                  <c:v>5</c:v>
                </c:pt>
                <c:pt idx="1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0485382160768675E-2"/>
                  <c:y val="-0.105796753893692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Curves'!$Y$384:$Z$384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xVal>
          <c:yVal>
            <c:numRef>
              <c:f>'Reference Curves'!$Y$385:$Z$385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B-4B8F-B817-172431ED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8152"/>
        <c:axId val="363178544"/>
      </c:scatterChart>
      <c:valAx>
        <c:axId val="36317815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8544"/>
        <c:crosses val="autoZero"/>
        <c:crossBetween val="midCat"/>
      </c:valAx>
      <c:valAx>
        <c:axId val="363178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8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Spacing Ratio for Bc Stream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7430606981435612"/>
                  <c:y val="-0.304891115493856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Curves'!$U$416:$Y$416</c:f>
              <c:numCache>
                <c:formatCode>General</c:formatCode>
                <c:ptCount val="5"/>
                <c:pt idx="0" formatCode="0.0">
                  <c:v>8</c:v>
                </c:pt>
                <c:pt idx="4">
                  <c:v>6</c:v>
                </c:pt>
              </c:numCache>
            </c:numRef>
          </c:xVal>
          <c:yVal>
            <c:numRef>
              <c:f>'Reference Curves'!$U$417:$Y$417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4-47EF-A0E8-77824E24575C}"/>
            </c:ext>
          </c:extLst>
        </c:ser>
        <c:ser>
          <c:idx val="1"/>
          <c:order val="1"/>
          <c:tx>
            <c:strRef>
              <c:f>'Reference Curves'!$Y$416:$Z$416</c:f>
              <c:strCache>
                <c:ptCount val="2"/>
                <c:pt idx="0">
                  <c:v>6</c:v>
                </c:pt>
                <c:pt idx="1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2346135371907514E-2"/>
                  <c:y val="-0.10186008400590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Curves'!$Y$416:$Z$416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xVal>
          <c:yVal>
            <c:numRef>
              <c:f>'Reference Curves'!$Y$417:$Z$417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4-47EF-A0E8-77824E245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80896"/>
        <c:axId val="384804016"/>
      </c:scatterChart>
      <c:valAx>
        <c:axId val="36318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</a:t>
                </a:r>
                <a:r>
                  <a:rPr lang="en-US" sz="1100" baseline="0"/>
                  <a:t>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 baseline="0"/>
                  <a:t>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3117436623724159"/>
              <c:y val="0.9342156997937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4016"/>
        <c:crosses val="autoZero"/>
        <c:crossBetween val="midCat"/>
      </c:valAx>
      <c:valAx>
        <c:axId val="3848040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8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Pool Spacing Ratio for C and E Stream Types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0634508399984831E-2"/>
                  <c:y val="0.152629969418960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Curves'!$U$448:$Z$448</c:f>
              <c:numCache>
                <c:formatCode>General</c:formatCode>
                <c:ptCount val="6"/>
                <c:pt idx="0">
                  <c:v>1</c:v>
                </c:pt>
                <c:pt idx="5">
                  <c:v>3.5</c:v>
                </c:pt>
              </c:numCache>
            </c:numRef>
          </c:xVal>
          <c:yVal>
            <c:numRef>
              <c:f>'Reference Curves'!$U$450:$Z$450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07-4847-B56C-0D1FB50546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7398246539813272"/>
                  <c:y val="-0.443934840713718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Curves'!$U$449:$Z$449</c:f>
              <c:numCache>
                <c:formatCode>General</c:formatCode>
                <c:ptCount val="6"/>
                <c:pt idx="0">
                  <c:v>9</c:v>
                </c:pt>
                <c:pt idx="5">
                  <c:v>6</c:v>
                </c:pt>
              </c:numCache>
            </c:numRef>
          </c:xVal>
          <c:yVal>
            <c:numRef>
              <c:f>'Reference Curves'!$U$450:$Z$450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07-4847-B56C-0D1FB5054678}"/>
            </c:ext>
          </c:extLst>
        </c:ser>
        <c:ser>
          <c:idx val="2"/>
          <c:order val="2"/>
          <c:tx>
            <c:v>Crest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Curves'!$Z$448:$Z$449</c:f>
              <c:numCache>
                <c:formatCode>General</c:formatCode>
                <c:ptCount val="2"/>
                <c:pt idx="0">
                  <c:v>3.5</c:v>
                </c:pt>
                <c:pt idx="1">
                  <c:v>6</c:v>
                </c:pt>
              </c:numCache>
            </c:numRef>
          </c:xVal>
          <c:yVal>
            <c:numRef>
              <c:f>('Reference Curves'!$Z$450,'Reference Curves'!$Z$450)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07-4847-B56C-0D1FB505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07544"/>
        <c:axId val="384809504"/>
      </c:scatterChart>
      <c:valAx>
        <c:axId val="38480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43061872415702857"/>
              <c:y val="0.92240741970686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9504"/>
        <c:crosses val="autoZero"/>
        <c:crossBetween val="midCat"/>
      </c:valAx>
      <c:valAx>
        <c:axId val="384809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Depth Ratio for B</a:t>
            </a:r>
            <a:r>
              <a:rPr lang="en-US" baseline="0"/>
              <a:t> </a:t>
            </a:r>
            <a:r>
              <a:rPr lang="en-US"/>
              <a:t>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92168505273453E-2"/>
          <c:y val="0.10898967428091716"/>
          <c:w val="0.85454118492941922"/>
          <c:h val="0.7803134713050585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2723792338053196E-2"/>
                  <c:y val="5.53122034246987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Curves'!$U$517:$W$517</c:f>
              <c:numCache>
                <c:formatCode>0.0</c:formatCode>
                <c:ptCount val="3"/>
                <c:pt idx="0">
                  <c:v>1</c:v>
                </c:pt>
                <c:pt idx="2">
                  <c:v>2</c:v>
                </c:pt>
              </c:numCache>
            </c:numRef>
          </c:xVal>
          <c:yVal>
            <c:numRef>
              <c:f>'Reference Curves'!$U$518:$W$518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4E-47E8-8FC8-99BB3795A71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5321927624979048E-2"/>
                  <c:y val="0.136911774124369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Curves'!$W$517:$Y$517</c:f>
              <c:numCache>
                <c:formatCode>0.0</c:formatCode>
                <c:ptCount val="3"/>
                <c:pt idx="0">
                  <c:v>2</c:v>
                </c:pt>
                <c:pt idx="2">
                  <c:v>2.2999999999999998</c:v>
                </c:pt>
              </c:numCache>
            </c:numRef>
          </c:xVal>
          <c:yVal>
            <c:numRef>
              <c:f>'Reference Curves'!$W$518:$Y$518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4E-47E8-8FC8-99BB3795A71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0849442367762569E-2"/>
                  <c:y val="7.88368716970366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Curves'!$Y$517:$Z$517</c:f>
              <c:numCache>
                <c:formatCode>0.0</c:formatCode>
                <c:ptCount val="2"/>
                <c:pt idx="0">
                  <c:v>2.2999999999999998</c:v>
                </c:pt>
                <c:pt idx="1">
                  <c:v>2.9</c:v>
                </c:pt>
              </c:numCache>
            </c:numRef>
          </c:xVal>
          <c:yVal>
            <c:numRef>
              <c:f>'Reference Curves'!$Y$518:$Z$518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4E-47E8-8FC8-99BB3795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09112"/>
        <c:axId val="384809896"/>
      </c:scatterChart>
      <c:valAx>
        <c:axId val="38480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9896"/>
        <c:crosses val="autoZero"/>
        <c:crossBetween val="midCat"/>
      </c:valAx>
      <c:valAx>
        <c:axId val="384809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Depth Ratio for C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0398673566967371E-2"/>
                  <c:y val="8.86783822032874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Curves'!$U$550:$W$550</c:f>
              <c:numCache>
                <c:formatCode>0.0</c:formatCode>
                <c:ptCount val="3"/>
                <c:pt idx="0">
                  <c:v>1</c:v>
                </c:pt>
                <c:pt idx="2">
                  <c:v>1.2</c:v>
                </c:pt>
              </c:numCache>
            </c:numRef>
          </c:xVal>
          <c:yVal>
            <c:numRef>
              <c:f>'Reference Curves'!$U$551:$W$551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D-4B8C-8DD4-657AF4FF794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3227496602045302"/>
                  <c:y val="7.704243503050113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Curves'!$W$550:$Y$550</c:f>
              <c:numCache>
                <c:formatCode>0.0</c:formatCode>
                <c:ptCount val="3"/>
                <c:pt idx="0">
                  <c:v>1.2</c:v>
                </c:pt>
                <c:pt idx="2">
                  <c:v>1.9</c:v>
                </c:pt>
              </c:numCache>
            </c:numRef>
          </c:xVal>
          <c:yVal>
            <c:numRef>
              <c:f>'Reference Curves'!$W$551:$Y$551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DD-4B8C-8DD4-657AF4FF794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2666910225192731E-2"/>
                  <c:y val="4.28448178919318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Curves'!$Y$550:$Z$550</c:f>
              <c:numCache>
                <c:formatCode>0.0</c:formatCode>
                <c:ptCount val="2"/>
                <c:pt idx="0">
                  <c:v>1.9</c:v>
                </c:pt>
                <c:pt idx="1">
                  <c:v>2.2999999999999998</c:v>
                </c:pt>
              </c:numCache>
            </c:numRef>
          </c:xVal>
          <c:yVal>
            <c:numRef>
              <c:f>'Reference Curves'!$Y$551:$Z$551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D-4B8C-8DD4-657AF4FF7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07936"/>
        <c:axId val="384805192"/>
      </c:scatterChart>
      <c:valAx>
        <c:axId val="38480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44025903178585812"/>
              <c:y val="0.92322508394181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5192"/>
        <c:crosses val="autoZero"/>
        <c:crossBetween val="midCat"/>
      </c:valAx>
      <c:valAx>
        <c:axId val="384805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</a:t>
                </a:r>
                <a:r>
                  <a:rPr lang="en-US" sz="1100" baseline="0"/>
                  <a:t> Value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085030739575794E-2"/>
              <c:y val="0.40989288450511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Depth Ratio for E</a:t>
            </a:r>
            <a:r>
              <a:rPr lang="en-US" baseline="0"/>
              <a:t> </a:t>
            </a:r>
            <a:r>
              <a:rPr lang="en-US"/>
              <a:t>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095669506917986"/>
                  <c:y val="7.01429899974913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Curves'!$Y$584:$Z$584</c:f>
              <c:numCache>
                <c:formatCode>0.00</c:formatCode>
                <c:ptCount val="2"/>
                <c:pt idx="0" formatCode="General">
                  <c:v>1.7</c:v>
                </c:pt>
                <c:pt idx="1">
                  <c:v>2.1</c:v>
                </c:pt>
              </c:numCache>
            </c:numRef>
          </c:xVal>
          <c:yVal>
            <c:numRef>
              <c:f>'Reference Curves'!$Y$585:$Z$585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C-4159-9178-DE4B5AEA0F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7658840175462882E-2"/>
                  <c:y val="0.103403330919623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Curves'!$W$584:$Y$584</c:f>
              <c:numCache>
                <c:formatCode>General</c:formatCode>
                <c:ptCount val="3"/>
                <c:pt idx="0">
                  <c:v>1.4</c:v>
                </c:pt>
                <c:pt idx="2">
                  <c:v>1.7</c:v>
                </c:pt>
              </c:numCache>
            </c:numRef>
          </c:xVal>
          <c:yVal>
            <c:numRef>
              <c:f>'Reference Curves'!$W$585:$Y$585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C-4159-9178-DE4B5AEA0FC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686974495896899"/>
                  <c:y val="9.11698245026726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Curves'!$U$584:$W$584</c:f>
              <c:numCache>
                <c:formatCode>General</c:formatCode>
                <c:ptCount val="3"/>
                <c:pt idx="0" formatCode="0.00">
                  <c:v>1</c:v>
                </c:pt>
                <c:pt idx="2">
                  <c:v>1.4</c:v>
                </c:pt>
              </c:numCache>
            </c:numRef>
          </c:xVal>
          <c:yVal>
            <c:numRef>
              <c:f>'Reference Curves'!$U$585:$W$585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C-4159-9178-DE4B5AEA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10288"/>
        <c:axId val="384810680"/>
      </c:scatterChart>
      <c:valAx>
        <c:axId val="38481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 b="0" i="0" baseline="0">
                    <a:effectLst/>
                  </a:rPr>
                  <a:t>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20656006635377"/>
              <c:y val="0.94600507112345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10680"/>
        <c:crosses val="autoZero"/>
        <c:crossBetween val="midCat"/>
      </c:valAx>
      <c:valAx>
        <c:axId val="3848106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1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B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1708478915652069E-2"/>
                  <c:y val="9.9873162371758514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Curves'!$U$651:$Z$651</c:f>
              <c:numCache>
                <c:formatCode>General</c:formatCode>
                <c:ptCount val="6"/>
                <c:pt idx="0" formatCode="0">
                  <c:v>0</c:v>
                </c:pt>
                <c:pt idx="5">
                  <c:v>53</c:v>
                </c:pt>
              </c:numCache>
            </c:numRef>
          </c:xVal>
          <c:yVal>
            <c:numRef>
              <c:f>'Reference Curves'!$U$653:$Z$653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2-46D5-B6C3-E3D1481EC57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2.8311500997831546E-2"/>
                  <c:y val="-3.5539841744354539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Curves'!$U$652:$Z$652</c:f>
              <c:numCache>
                <c:formatCode>General</c:formatCode>
                <c:ptCount val="6"/>
                <c:pt idx="0" formatCode="0">
                  <c:v>100</c:v>
                </c:pt>
                <c:pt idx="5">
                  <c:v>61</c:v>
                </c:pt>
              </c:numCache>
            </c:numRef>
          </c:xVal>
          <c:yVal>
            <c:numRef>
              <c:f>'Reference Curves'!$U$653:$Z$653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2-46D5-B6C3-E3D1481EC572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Curves'!$Z$651:$Z$652</c:f>
              <c:numCache>
                <c:formatCode>General</c:formatCode>
                <c:ptCount val="2"/>
                <c:pt idx="0">
                  <c:v>53</c:v>
                </c:pt>
                <c:pt idx="1">
                  <c:v>61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6E2-46D5-B6C3-E3D1481E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9328"/>
        <c:axId val="363180112"/>
      </c:scatterChart>
      <c:valAx>
        <c:axId val="36317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layout>
            <c:manualLayout>
              <c:xMode val="edge"/>
              <c:yMode val="edge"/>
              <c:x val="0.41896342508207335"/>
              <c:y val="0.9319070230148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80112"/>
        <c:crosses val="autoZero"/>
        <c:crossBetween val="midCat"/>
      </c:valAx>
      <c:valAx>
        <c:axId val="363180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B, C and E Streams &lt; 3% slope and Percent Riffle &gt;=60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456070937341359"/>
                  <c:y val="-0.177667509625849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'Performance Stds'!#REF!</c:f>
            </c:numRef>
          </c:xVal>
          <c:yVal>
            <c:numRef>
              <c:f>'Performance Stds'!#REF!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0-4AF6-A3BC-753C86D6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4624"/>
        <c:axId val="363175408"/>
      </c:scatterChart>
      <c:valAx>
        <c:axId val="363174624"/>
        <c:scaling>
          <c:orientation val="minMax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5408"/>
        <c:crosses val="autoZero"/>
        <c:crossBetween val="midCat"/>
      </c:valAx>
      <c:valAx>
        <c:axId val="363175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C</a:t>
            </a:r>
            <a:r>
              <a:rPr lang="en-US" baseline="0"/>
              <a:t> </a:t>
            </a:r>
            <a:r>
              <a:rPr lang="en-US"/>
              <a:t>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473692166254905E-2"/>
                  <c:y val="0.155137144014923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Curves'!$U$686:$Z$686</c:f>
              <c:numCache>
                <c:formatCode>General</c:formatCode>
                <c:ptCount val="6"/>
                <c:pt idx="0" formatCode="0">
                  <c:v>0</c:v>
                </c:pt>
                <c:pt idx="5">
                  <c:v>45</c:v>
                </c:pt>
              </c:numCache>
            </c:numRef>
          </c:xVal>
          <c:yVal>
            <c:numRef>
              <c:f>'Reference Curves'!$U$688:$Z$688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C-4376-8210-56725EACFF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283853297333684"/>
                  <c:y val="-0.457189544867633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Curves'!$U$687:$Z$687</c:f>
              <c:numCache>
                <c:formatCode>General</c:formatCode>
                <c:ptCount val="6"/>
                <c:pt idx="0" formatCode="0">
                  <c:v>100</c:v>
                </c:pt>
                <c:pt idx="5">
                  <c:v>65</c:v>
                </c:pt>
              </c:numCache>
            </c:numRef>
          </c:xVal>
          <c:yVal>
            <c:numRef>
              <c:f>'Reference Curves'!$U$688:$Z$688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C-4376-8210-56725EACFFEE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Curves'!$Z$686:$Z$687</c:f>
              <c:numCache>
                <c:formatCode>General</c:formatCode>
                <c:ptCount val="2"/>
                <c:pt idx="0">
                  <c:v>45</c:v>
                </c:pt>
                <c:pt idx="1">
                  <c:v>65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07C-4376-8210-56725EAC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66112"/>
        <c:axId val="385170816"/>
      </c:scatterChart>
      <c:valAx>
        <c:axId val="3851661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layout>
            <c:manualLayout>
              <c:xMode val="edge"/>
              <c:yMode val="edge"/>
              <c:x val="0.46326000113364812"/>
              <c:y val="0.92699717943000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0816"/>
        <c:crosses val="autoZero"/>
        <c:crossBetween val="midCat"/>
      </c:valAx>
      <c:valAx>
        <c:axId val="385170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5698024397449255E-2"/>
              <c:y val="0.42206100382084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A</a:t>
            </a:r>
            <a:r>
              <a:rPr lang="en-US" baseline="0"/>
              <a:t> and B</a:t>
            </a:r>
            <a:r>
              <a:rPr lang="en-US"/>
              <a:t> Streams and Percent Riffle &gt;70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7622122197586678"/>
                  <c:y val="-7.63974334034738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'Performance Stds'!#REF!</c:f>
            </c:numRef>
          </c:xVal>
          <c:yVal>
            <c:numRef>
              <c:f>'Performance Stds'!#REF!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1-4161-B35A-A6940904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66504"/>
        <c:axId val="385171992"/>
      </c:scatterChart>
      <c:valAx>
        <c:axId val="385166504"/>
        <c:scaling>
          <c:orientation val="minMax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1992"/>
        <c:crosses val="autoZero"/>
        <c:crossBetween val="midCat"/>
      </c:valAx>
      <c:valAx>
        <c:axId val="385171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6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Specific</a:t>
            </a:r>
            <a:r>
              <a:rPr lang="en-US" baseline="0"/>
              <a:t> Conductivity - Piedmont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20"/>
            <c:dispRSqr val="0"/>
            <c:dispEq val="1"/>
            <c:trendlineLbl>
              <c:layout>
                <c:manualLayout>
                  <c:x val="-5.6145739067432192E-2"/>
                  <c:y val="-0.3659919752336990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Curves'!$AD$483:$AH$483</c:f>
              <c:numCache>
                <c:formatCode>General</c:formatCode>
                <c:ptCount val="5"/>
                <c:pt idx="2">
                  <c:v>229</c:v>
                </c:pt>
                <c:pt idx="4">
                  <c:v>78</c:v>
                </c:pt>
              </c:numCache>
            </c:numRef>
          </c:xVal>
          <c:yVal>
            <c:numRef>
              <c:f>'Reference Curves'!$AD$484:$AH$484</c:f>
              <c:numCache>
                <c:formatCode>General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B-410C-A7C9-9C9F572D8F0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2815776166946087"/>
                  <c:y val="-0.1809116983572186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Curves'!$AH$483:$AI$483</c:f>
              <c:numCache>
                <c:formatCode>General</c:formatCode>
                <c:ptCount val="2"/>
                <c:pt idx="0">
                  <c:v>78</c:v>
                </c:pt>
                <c:pt idx="1">
                  <c:v>55</c:v>
                </c:pt>
              </c:numCache>
            </c:numRef>
          </c:xVal>
          <c:yVal>
            <c:numRef>
              <c:f>'Reference Curves'!$AH$484:$AI$484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B-410C-A7C9-9C9F572D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68072"/>
        <c:axId val="385170032"/>
      </c:scatterChart>
      <c:valAx>
        <c:axId val="3851680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</a:t>
                </a:r>
                <a:r>
                  <a:rPr lang="en-US" sz="1100" baseline="0"/>
                  <a:t> Value (uS/cm)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0032"/>
        <c:crosses val="autoZero"/>
        <c:crossBetween val="midCat"/>
      </c:valAx>
      <c:valAx>
        <c:axId val="3851700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Specific</a:t>
            </a:r>
            <a:r>
              <a:rPr lang="en-US" baseline="0"/>
              <a:t> Conductivity - Mountains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0"/>
            <c:dispEq val="1"/>
            <c:trendlineLbl>
              <c:layout>
                <c:manualLayout>
                  <c:x val="-0.31885896744589293"/>
                  <c:y val="-0.340506487718091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Curves'!$AD$519:$AI$519</c:f>
              <c:numCache>
                <c:formatCode>General</c:formatCode>
                <c:ptCount val="6"/>
                <c:pt idx="2">
                  <c:v>66</c:v>
                </c:pt>
                <c:pt idx="4">
                  <c:v>41</c:v>
                </c:pt>
              </c:numCache>
            </c:numRef>
          </c:xVal>
          <c:yVal>
            <c:numRef>
              <c:f>'Reference Curves'!$AD$520:$AI$520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0-4988-983A-CEDA715D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73168"/>
        <c:axId val="385173560"/>
      </c:scatterChart>
      <c:valAx>
        <c:axId val="3851731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3560"/>
        <c:crosses val="autoZero"/>
        <c:crossBetween val="midCat"/>
      </c:valAx>
      <c:valAx>
        <c:axId val="3851735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NC Biotic Index - Qual 4 - Mountains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551333421916969"/>
                  <c:y val="-7.00653744354600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Curves'!$AM$10:$AO$10</c:f>
              <c:numCache>
                <c:formatCode>General</c:formatCode>
                <c:ptCount val="3"/>
                <c:pt idx="0">
                  <c:v>6.53</c:v>
                </c:pt>
                <c:pt idx="2">
                  <c:v>5.62</c:v>
                </c:pt>
              </c:numCache>
            </c:numRef>
          </c:xVal>
          <c:yVal>
            <c:numRef>
              <c:f>'Reference Curves'!$AM$11:$AO$11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6-4D3F-B0D4-E94EF353808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961349301680389"/>
                  <c:y val="-9.8158498701378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Curves'!$AO$10:$AQ$10</c:f>
              <c:numCache>
                <c:formatCode>General</c:formatCode>
                <c:ptCount val="3"/>
                <c:pt idx="0">
                  <c:v>5.62</c:v>
                </c:pt>
                <c:pt idx="2">
                  <c:v>4.7300000000000004</c:v>
                </c:pt>
              </c:numCache>
            </c:numRef>
          </c:xVal>
          <c:yVal>
            <c:numRef>
              <c:f>'Reference Curves'!$AO$11:$AQ$11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96-4D3F-B0D4-E94EF353808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312351717260803"/>
                  <c:y val="-9.556918162818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Curves'!$AQ$10:$AR$10</c:f>
              <c:numCache>
                <c:formatCode>General</c:formatCode>
                <c:ptCount val="2"/>
                <c:pt idx="0">
                  <c:v>4.7300000000000004</c:v>
                </c:pt>
                <c:pt idx="1">
                  <c:v>3.29</c:v>
                </c:pt>
              </c:numCache>
            </c:numRef>
          </c:xVal>
          <c:yVal>
            <c:numRef>
              <c:f>'Reference Curves'!$AQ$11:$AR$11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96-4D3F-B0D4-E94EF353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70424"/>
        <c:axId val="385791064"/>
      </c:scatterChart>
      <c:valAx>
        <c:axId val="385170424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Field Value (Unitless)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0156883226980711"/>
              <c:y val="0.94254206973692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1064"/>
        <c:crosses val="autoZero"/>
        <c:crossBetween val="midCat"/>
      </c:valAx>
      <c:valAx>
        <c:axId val="385791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0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 Biotic Index - Qual 4 - Piedmont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950207045877461"/>
                  <c:y val="-2.80485472958571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Curves'!$AM$44:$AO$44</c:f>
              <c:numCache>
                <c:formatCode>General</c:formatCode>
                <c:ptCount val="3"/>
                <c:pt idx="0">
                  <c:v>6.92</c:v>
                </c:pt>
                <c:pt idx="2">
                  <c:v>5.85</c:v>
                </c:pt>
              </c:numCache>
            </c:numRef>
          </c:xVal>
          <c:yVal>
            <c:numRef>
              <c:f>'Reference Curves'!$AM$45:$AO$45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B4-4E35-A34A-6016EAFB13D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345523243125273"/>
                  <c:y val="-5.55244167564901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Curves'!$AO$44:$AQ$44</c:f>
              <c:numCache>
                <c:formatCode>General</c:formatCode>
                <c:ptCount val="3"/>
                <c:pt idx="0">
                  <c:v>5.85</c:v>
                </c:pt>
                <c:pt idx="2">
                  <c:v>5.18</c:v>
                </c:pt>
              </c:numCache>
            </c:numRef>
          </c:xVal>
          <c:yVal>
            <c:numRef>
              <c:f>'Reference Curves'!$AO$45:$AQ$45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B4-4E35-A34A-6016EAFB13D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486058863056813"/>
                  <c:y val="-5.56410959070951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Curves'!$AQ$44:$AR$44</c:f>
              <c:numCache>
                <c:formatCode>General</c:formatCode>
                <c:ptCount val="2"/>
                <c:pt idx="0">
                  <c:v>5.18</c:v>
                </c:pt>
                <c:pt idx="1">
                  <c:v>4.3</c:v>
                </c:pt>
              </c:numCache>
            </c:numRef>
          </c:xVal>
          <c:yVal>
            <c:numRef>
              <c:f>'Reference Curves'!$AQ$45:$AR$45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B4-4E35-A34A-6016EAFB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0672"/>
        <c:axId val="385785184"/>
      </c:scatterChart>
      <c:valAx>
        <c:axId val="38579067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</a:t>
                </a:r>
                <a:r>
                  <a:rPr lang="en-US" sz="1100" baseline="0"/>
                  <a:t> Value (Unitless)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8681131233090119"/>
              <c:y val="0.933308222134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5184"/>
        <c:crosses val="autoZero"/>
        <c:crossBetween val="midCat"/>
      </c:valAx>
      <c:valAx>
        <c:axId val="385785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Leaf Litter Processing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1"/>
            <c:trendlineLbl>
              <c:layout>
                <c:manualLayout>
                  <c:x val="-7.5650150537781471E-2"/>
                  <c:y val="0.267709589508906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Curves'!$AF$80:$AI$80</c:f>
              <c:numCache>
                <c:formatCode>General</c:formatCode>
                <c:ptCount val="4"/>
                <c:pt idx="0">
                  <c:v>0.5</c:v>
                </c:pt>
                <c:pt idx="3">
                  <c:v>0.75</c:v>
                </c:pt>
              </c:numCache>
            </c:numRef>
          </c:xVal>
          <c:yVal>
            <c:numRef>
              <c:f>'Reference Curves'!$AF$82:$AI$82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20-41F6-A9D3-CBACC6BE2262}"/>
            </c:ext>
          </c:extLst>
        </c:ser>
        <c:ser>
          <c:idx val="1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1"/>
            <c:trendlineLbl>
              <c:layout>
                <c:manualLayout>
                  <c:x val="-7.6513541561592263E-2"/>
                  <c:y val="-0.506971198390284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Curves'!$AD$81:$AI$81</c:f>
              <c:numCache>
                <c:formatCode>General</c:formatCode>
                <c:ptCount val="6"/>
                <c:pt idx="2">
                  <c:v>2</c:v>
                </c:pt>
                <c:pt idx="5">
                  <c:v>1.33</c:v>
                </c:pt>
              </c:numCache>
            </c:numRef>
          </c:xVal>
          <c:yVal>
            <c:numRef>
              <c:f>'Reference Curves'!$AD$82:$AI$82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20-41F6-A9D3-CBACC6BE2262}"/>
            </c:ext>
          </c:extLst>
        </c:ser>
        <c:ser>
          <c:idx val="2"/>
          <c:order val="2"/>
          <c:tx>
            <c:v>crest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Curves'!$AI$80:$AI$81</c:f>
              <c:numCache>
                <c:formatCode>General</c:formatCode>
                <c:ptCount val="2"/>
                <c:pt idx="0">
                  <c:v>0.75</c:v>
                </c:pt>
                <c:pt idx="1">
                  <c:v>1.33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A20-41F6-A9D3-CBACC6BE2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84792"/>
        <c:axId val="385790280"/>
      </c:scatterChart>
      <c:valAx>
        <c:axId val="385784792"/>
        <c:scaling>
          <c:orientation val="minMax"/>
          <c:max val="2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40311496595148039"/>
              <c:y val="0.92784474417183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0280"/>
        <c:crosses val="autoZero"/>
        <c:crossBetween val="midCat"/>
      </c:valAx>
      <c:valAx>
        <c:axId val="3857902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NCIBI Score - French Broad, Hiwassee, Little Tennessee, New, and Watauga River Basins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5"/>
            <c:dispRSqr val="0"/>
            <c:dispEq val="1"/>
            <c:trendlineLbl>
              <c:layout>
                <c:manualLayout>
                  <c:x val="-0.30086294272539299"/>
                  <c:y val="0.147900890308012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Curves'!$AM$388:$AR$388</c:f>
              <c:numCache>
                <c:formatCode>General</c:formatCode>
                <c:ptCount val="6"/>
                <c:pt idx="2">
                  <c:v>33</c:v>
                </c:pt>
                <c:pt idx="4">
                  <c:v>48</c:v>
                </c:pt>
                <c:pt idx="5">
                  <c:v>60</c:v>
                </c:pt>
              </c:numCache>
            </c:numRef>
          </c:xVal>
          <c:yVal>
            <c:numRef>
              <c:f>'Reference Curves'!$AM$389:$AR$389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1-416B-9513-8727F8D1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86360"/>
        <c:axId val="385787536"/>
      </c:scatterChart>
      <c:valAx>
        <c:axId val="3857863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layout>
            <c:manualLayout>
              <c:xMode val="edge"/>
              <c:yMode val="edge"/>
              <c:x val="0.42544519814451404"/>
              <c:y val="0.9428468082244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7536"/>
        <c:crosses val="autoZero"/>
        <c:crossBetween val="midCat"/>
      </c:valAx>
      <c:valAx>
        <c:axId val="385787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5467602679914405E-2"/>
              <c:y val="0.44086919606802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6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NCIBI Score - Broad, Catawba, Savannah, and Yadkin River Basins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backward val="15"/>
            <c:dispRSqr val="0"/>
            <c:dispEq val="1"/>
            <c:trendlineLbl>
              <c:layout>
                <c:manualLayout>
                  <c:x val="-0.23053787317239705"/>
                  <c:y val="0.13406360424028269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Curves'!$AM$422:$AR$422</c:f>
              <c:numCache>
                <c:formatCode>General</c:formatCode>
                <c:ptCount val="6"/>
                <c:pt idx="2">
                  <c:v>35</c:v>
                </c:pt>
                <c:pt idx="4">
                  <c:v>48</c:v>
                </c:pt>
                <c:pt idx="5">
                  <c:v>60</c:v>
                </c:pt>
              </c:numCache>
            </c:numRef>
          </c:xVal>
          <c:yVal>
            <c:numRef>
              <c:f>'Reference Curves'!$AM$423:$AR$423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5D-4CB4-8B84-05462AB1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88320"/>
        <c:axId val="385784400"/>
      </c:scatterChart>
      <c:valAx>
        <c:axId val="3857883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4400"/>
        <c:crosses val="autoZero"/>
        <c:crossBetween val="midCat"/>
      </c:valAx>
      <c:valAx>
        <c:axId val="3857844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9.0212398699733888E-3"/>
              <c:y val="0.43573726948453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NCIBI Score - Cape Fear, Neuse, Roanoke, and Tar-Pamlico River Basins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8744235010551086"/>
                  <c:y val="0.15994467496542186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Curves'!$AM$456:$AR$456</c:f>
              <c:numCache>
                <c:formatCode>General</c:formatCode>
                <c:ptCount val="6"/>
                <c:pt idx="0">
                  <c:v>25.1</c:v>
                </c:pt>
                <c:pt idx="2">
                  <c:v>33</c:v>
                </c:pt>
                <c:pt idx="4">
                  <c:v>46</c:v>
                </c:pt>
                <c:pt idx="5">
                  <c:v>60</c:v>
                </c:pt>
              </c:numCache>
            </c:numRef>
          </c:xVal>
          <c:yVal>
            <c:numRef>
              <c:f>'Reference Curves'!$AM$457:$AR$457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0.6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A-4D24-B26F-88E6ED58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86752"/>
        <c:axId val="385788712"/>
      </c:scatterChart>
      <c:valAx>
        <c:axId val="385786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layout>
            <c:manualLayout>
              <c:xMode val="edge"/>
              <c:yMode val="edge"/>
              <c:x val="0.38947180261823755"/>
              <c:y val="0.94123923418599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8712"/>
        <c:crosses val="autoZero"/>
        <c:crossBetween val="midCat"/>
      </c:valAx>
      <c:valAx>
        <c:axId val="3857887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1329934471941194E-2"/>
              <c:y val="0.43338961998950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Erosion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710987518331501"/>
                  <c:y val="-7.63079642680945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Curves'!$U$79:$W$79</c:f>
              <c:numCache>
                <c:formatCode>0.00</c:formatCode>
                <c:ptCount val="3"/>
                <c:pt idx="0" formatCode="General">
                  <c:v>0.71</c:v>
                </c:pt>
                <c:pt idx="2" formatCode="General">
                  <c:v>0.4</c:v>
                </c:pt>
              </c:numCache>
            </c:numRef>
          </c:xVal>
          <c:yVal>
            <c:numRef>
              <c:f>'Reference Curves'!$U$80:$W$80</c:f>
              <c:numCache>
                <c:formatCode>0.00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B-47D3-8744-ED7323DF286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7906243539293128E-2"/>
                  <c:y val="-4.69262212298053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Curves'!$W$79:$Y$79</c:f>
              <c:numCache>
                <c:formatCode>0.00</c:formatCode>
                <c:ptCount val="3"/>
                <c:pt idx="0" formatCode="General">
                  <c:v>0.4</c:v>
                </c:pt>
                <c:pt idx="2">
                  <c:v>0.2</c:v>
                </c:pt>
              </c:numCache>
            </c:numRef>
          </c:xVal>
          <c:yVal>
            <c:numRef>
              <c:f>'Reference Curves'!$W$80:$Y$80</c:f>
              <c:numCache>
                <c:formatCode>0.00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B-47D3-8744-ED7323DF286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6364920221413091E-2"/>
                  <c:y val="-7.0084873681079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Curves'!$Y$79:$Z$79</c:f>
              <c:numCache>
                <c:formatCode>General</c:formatCode>
                <c:ptCount val="2"/>
                <c:pt idx="0" formatCode="0.00">
                  <c:v>0.2</c:v>
                </c:pt>
                <c:pt idx="1">
                  <c:v>0.1</c:v>
                </c:pt>
              </c:numCache>
            </c:numRef>
          </c:xVal>
          <c:yVal>
            <c:numRef>
              <c:f>'Reference Curves'!$Y$80:$Z$80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B-47D3-8744-ED7323DF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1456"/>
        <c:axId val="385789888"/>
      </c:scatterChart>
      <c:valAx>
        <c:axId val="3857914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(ft/yr)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9888"/>
        <c:crosses val="autoZero"/>
        <c:crossBetween val="midCat"/>
      </c:valAx>
      <c:valAx>
        <c:axId val="385789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Daily Maximum  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Curves'!$AC$10</c:f>
              <c:strCache>
                <c:ptCount val="1"/>
                <c:pt idx="0">
                  <c:v>Coldwater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4345619239848499E-2"/>
                  <c:y val="-0.18149330145460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Curves'!$AD$10:$AI$10</c:f>
              <c:numCache>
                <c:formatCode>General</c:formatCode>
                <c:ptCount val="6"/>
                <c:pt idx="0">
                  <c:v>77</c:v>
                </c:pt>
                <c:pt idx="4">
                  <c:v>64</c:v>
                </c:pt>
                <c:pt idx="5">
                  <c:v>58</c:v>
                </c:pt>
              </c:numCache>
            </c:numRef>
          </c:xVal>
          <c:yVal>
            <c:numRef>
              <c:f>'Reference Curves'!$AD$12:$AI$12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2B-4C43-AD3D-E4F3ED195942}"/>
            </c:ext>
          </c:extLst>
        </c:ser>
        <c:ser>
          <c:idx val="1"/>
          <c:order val="1"/>
          <c:tx>
            <c:strRef>
              <c:f>'Reference Curves'!$AC$11</c:f>
              <c:strCache>
                <c:ptCount val="1"/>
                <c:pt idx="0">
                  <c:v>Coolwater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2B-4C43-AD3D-E4F3ED195942}"/>
              </c:ext>
            </c:extLst>
          </c:dPt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7485572433633235E-2"/>
                  <c:y val="-0.685183738001182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Curves'!$AD$11:$AI$11</c:f>
              <c:numCache>
                <c:formatCode>General</c:formatCode>
                <c:ptCount val="6"/>
                <c:pt idx="0">
                  <c:v>97</c:v>
                </c:pt>
                <c:pt idx="5">
                  <c:v>67</c:v>
                </c:pt>
              </c:numCache>
            </c:numRef>
          </c:xVal>
          <c:yVal>
            <c:numRef>
              <c:f>'Reference Curves'!$AD$12:$AI$12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2B-4C43-AD3D-E4F3ED19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0768"/>
        <c:axId val="386332336"/>
      </c:scatterChart>
      <c:valAx>
        <c:axId val="386330768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(⁰F)</a:t>
                </a:r>
              </a:p>
            </c:rich>
          </c:tx>
          <c:layout>
            <c:manualLayout>
              <c:xMode val="edge"/>
              <c:yMode val="edge"/>
              <c:x val="0.36772839356787868"/>
              <c:y val="0.92181068121860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2336"/>
        <c:crosses val="autoZero"/>
        <c:crossBetween val="midCat"/>
      </c:valAx>
      <c:valAx>
        <c:axId val="386332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0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Riparian</a:t>
            </a:r>
            <a:r>
              <a:rPr lang="en-US" baseline="0"/>
              <a:t> Vegetation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2154362696391308"/>
                  <c:y val="8.6927407287625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'Performance Stds'!#REF!</c:f>
            </c:numRef>
          </c:xVal>
          <c:yVal>
            <c:numRef>
              <c:f>'Performance Stds'!#REF!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84-496F-8D47-F20C70DC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3120"/>
        <c:axId val="386332728"/>
      </c:scatterChart>
      <c:valAx>
        <c:axId val="386333120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2728"/>
        <c:crosses val="autoZero"/>
        <c:crossBetween val="midCat"/>
      </c:valAx>
      <c:valAx>
        <c:axId val="386332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E</a:t>
            </a:r>
            <a:r>
              <a:rPr lang="en-US" baseline="0"/>
              <a:t> </a:t>
            </a:r>
            <a:r>
              <a:rPr lang="en-US"/>
              <a:t>Streams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20245964441424052"/>
                  <c:y val="9.58915960923738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Curves'!$U$720:$Z$720</c:f>
              <c:numCache>
                <c:formatCode>General</c:formatCode>
                <c:ptCount val="6"/>
                <c:pt idx="0" formatCode="0">
                  <c:v>0</c:v>
                </c:pt>
                <c:pt idx="5">
                  <c:v>43</c:v>
                </c:pt>
              </c:numCache>
            </c:numRef>
          </c:xVal>
          <c:yVal>
            <c:numRef>
              <c:f>'Reference Curves'!$U$722:$Z$722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8-4735-B415-399E4965F40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029349942760361E-3"/>
                  <c:y val="-0.630872802228024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Curves'!$U$721:$Z$721</c:f>
              <c:numCache>
                <c:formatCode>General</c:formatCode>
                <c:ptCount val="6"/>
                <c:pt idx="0" formatCode="0">
                  <c:v>100</c:v>
                </c:pt>
                <c:pt idx="5">
                  <c:v>63</c:v>
                </c:pt>
              </c:numCache>
            </c:numRef>
          </c:xVal>
          <c:yVal>
            <c:numRef>
              <c:f>'Reference Curves'!$U$722:$Z$722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8-4735-B415-399E4965F40E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Curves'!$Z$720:$Z$721</c:f>
              <c:numCache>
                <c:formatCode>General</c:formatCode>
                <c:ptCount val="2"/>
                <c:pt idx="0">
                  <c:v>43</c:v>
                </c:pt>
                <c:pt idx="1">
                  <c:v>63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D88-4735-B415-399E4965F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0376"/>
        <c:axId val="386334296"/>
      </c:scatterChart>
      <c:valAx>
        <c:axId val="38633037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4296"/>
        <c:crosses val="autoZero"/>
        <c:crossBetween val="midCat"/>
      </c:valAx>
      <c:valAx>
        <c:axId val="3863342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0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Runoff</a:t>
            </a:r>
            <a:r>
              <a:rPr lang="en-US" baseline="0"/>
              <a:t> Volume</a:t>
            </a:r>
            <a:endParaRPr lang="en-US"/>
          </a:p>
        </c:rich>
      </c:tx>
      <c:layout>
        <c:manualLayout>
          <c:xMode val="edge"/>
          <c:yMode val="edge"/>
          <c:x val="0.3509528143179233"/>
          <c:y val="3.011153359463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3942581659383912"/>
                  <c:y val="7.73103387838253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Curves'!$C$79:$H$79</c:f>
              <c:numCache>
                <c:formatCode>General</c:formatCode>
                <c:ptCount val="6"/>
                <c:pt idx="0" formatCode="0">
                  <c:v>0</c:v>
                </c:pt>
                <c:pt idx="5">
                  <c:v>0.9</c:v>
                </c:pt>
              </c:numCache>
            </c:numRef>
          </c:xVal>
          <c:yVal>
            <c:numRef>
              <c:f>'Reference Curves'!$C$81:$H$81</c:f>
              <c:numCache>
                <c:formatCode>0.00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B-49FE-BFC2-7B80D3E87C1B}"/>
            </c:ext>
          </c:extLst>
        </c:ser>
        <c:ser>
          <c:idx val="1"/>
          <c:order val="1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6610218343732144E-2"/>
                  <c:y val="-0.46572538250828827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Curves'!$C$80:$H$80</c:f>
              <c:numCache>
                <c:formatCode>General</c:formatCode>
                <c:ptCount val="6"/>
                <c:pt idx="0" formatCode="0">
                  <c:v>2</c:v>
                </c:pt>
                <c:pt idx="5">
                  <c:v>1.1000000000000001</c:v>
                </c:pt>
              </c:numCache>
            </c:numRef>
          </c:xVal>
          <c:yVal>
            <c:numRef>
              <c:f>'Reference Curves'!$C$81:$H$81</c:f>
              <c:numCache>
                <c:formatCode>0.00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7B-49FE-BFC2-7B80D3E87C1B}"/>
            </c:ext>
          </c:extLst>
        </c:ser>
        <c:ser>
          <c:idx val="2"/>
          <c:order val="2"/>
          <c:tx>
            <c:v>Crest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Curves'!$H$79:$H$80</c:f>
              <c:numCache>
                <c:formatCode>General</c:formatCode>
                <c:ptCount val="2"/>
                <c:pt idx="0">
                  <c:v>0.9</c:v>
                </c:pt>
                <c:pt idx="1">
                  <c:v>1.1000000000000001</c:v>
                </c:pt>
              </c:numCache>
            </c:numRef>
          </c:xVal>
          <c:yVal>
            <c:numRef>
              <c:f>('Reference Curves'!$H$81,'Reference Curves'!$H$81)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7B-49FE-BFC2-7B80D3E8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6648"/>
        <c:axId val="386333512"/>
      </c:scatterChart>
      <c:valAx>
        <c:axId val="38633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(O/E)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3512"/>
        <c:crosses val="autoZero"/>
        <c:crossBetween val="midCat"/>
      </c:valAx>
      <c:valAx>
        <c:axId val="3863335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6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Phosphorous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9024867740627116"/>
                  <c:y val="-0.110082371571756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Curves'!$AH$450:$AI$450</c:f>
              <c:numCache>
                <c:formatCode>General</c:formatCode>
                <c:ptCount val="2"/>
                <c:pt idx="0">
                  <c:v>0.08</c:v>
                </c:pt>
                <c:pt idx="1">
                  <c:v>0.04</c:v>
                </c:pt>
              </c:numCache>
            </c:numRef>
          </c:xVal>
          <c:yVal>
            <c:numRef>
              <c:f>'Reference Curves'!$AH$451:$AI$451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D9-4749-852D-207CBFC917BB}"/>
            </c:ext>
          </c:extLst>
        </c:ser>
        <c:ser>
          <c:idx val="1"/>
          <c:order val="1"/>
          <c:tx>
            <c:v>FAR/NF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8.0000000000000016E-2"/>
            <c:dispRSqr val="0"/>
            <c:dispEq val="1"/>
            <c:trendlineLbl>
              <c:layout>
                <c:manualLayout>
                  <c:x val="-0.11220702903248576"/>
                  <c:y val="-0.321701228733783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Curves'!$AD$450:$AH$450</c:f>
              <c:numCache>
                <c:formatCode>General</c:formatCode>
                <c:ptCount val="5"/>
                <c:pt idx="0">
                  <c:v>0.2</c:v>
                </c:pt>
                <c:pt idx="4">
                  <c:v>0.08</c:v>
                </c:pt>
              </c:numCache>
            </c:numRef>
          </c:xVal>
          <c:yVal>
            <c:numRef>
              <c:f>'Reference Curves'!$AD$451:$AH$451</c:f>
              <c:numCache>
                <c:formatCode>General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0.6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D9-4749-852D-207CBFC9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1552"/>
        <c:axId val="386337824"/>
      </c:scatterChart>
      <c:valAx>
        <c:axId val="3863315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7824"/>
        <c:crosses val="autoZero"/>
        <c:crossBetween val="midCat"/>
      </c:valAx>
      <c:valAx>
        <c:axId val="3863378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Nitrogen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9458555886021836"/>
                  <c:y val="-0.13243662042455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Curves'!$AH$417:$AI$417</c:f>
              <c:numCache>
                <c:formatCode>General</c:formatCode>
                <c:ptCount val="2"/>
                <c:pt idx="0">
                  <c:v>0.8</c:v>
                </c:pt>
                <c:pt idx="1">
                  <c:v>0.4</c:v>
                </c:pt>
              </c:numCache>
            </c:numRef>
          </c:xVal>
          <c:yVal>
            <c:numRef>
              <c:f>'Reference Curves'!$AH$418:$AI$418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8-47D5-AD04-E4724DD649BD}"/>
            </c:ext>
          </c:extLst>
        </c:ser>
        <c:ser>
          <c:idx val="1"/>
          <c:order val="1"/>
          <c:tx>
            <c:v>NF/FAR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1"/>
            <c:trendlineLbl>
              <c:layout>
                <c:manualLayout>
                  <c:x val="-1.8957317015692823E-2"/>
                  <c:y val="-0.246333346786472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Curves'!$AD$417:$AH$417</c:f>
              <c:numCache>
                <c:formatCode>General</c:formatCode>
                <c:ptCount val="5"/>
                <c:pt idx="0">
                  <c:v>2.2999999999999998</c:v>
                </c:pt>
                <c:pt idx="4">
                  <c:v>0.8</c:v>
                </c:pt>
              </c:numCache>
            </c:numRef>
          </c:xVal>
          <c:yVal>
            <c:numRef>
              <c:f>'Reference Curves'!$AD$418:$AH$418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8-47D5-AD04-E4724DD6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31944"/>
        <c:axId val="387079080"/>
      </c:scatterChart>
      <c:valAx>
        <c:axId val="386331944"/>
        <c:scaling>
          <c:orientation val="minMax"/>
          <c:max val="4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9080"/>
        <c:crosses val="autoZero"/>
        <c:crossBetween val="midCat"/>
      </c:valAx>
      <c:valAx>
        <c:axId val="3870790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31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Mountains &amp; DA ≤</a:t>
            </a:r>
            <a:r>
              <a:rPr lang="en-US" baseline="0"/>
              <a:t> </a:t>
            </a:r>
            <a:r>
              <a:rPr lang="en-US"/>
              <a:t>5 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Curves'!$AD$119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765952302443584E-4"/>
                  <c:y val="0.29281107981783605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Curves'!$AD$114:$AI$114</c:f>
              <c:numCache>
                <c:formatCode>0.0</c:formatCode>
                <c:ptCount val="6"/>
                <c:pt idx="0">
                  <c:v>0</c:v>
                </c:pt>
                <c:pt idx="2">
                  <c:v>6.9</c:v>
                </c:pt>
                <c:pt idx="4">
                  <c:v>16.100000000000001</c:v>
                </c:pt>
                <c:pt idx="5">
                  <c:v>23</c:v>
                </c:pt>
              </c:numCache>
            </c:numRef>
          </c:xVal>
          <c:yVal>
            <c:numRef>
              <c:f>'Reference Curves'!$AD$117:$AI$117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3-4C95-8223-00C705E1E09E}"/>
            </c:ext>
          </c:extLst>
        </c:ser>
        <c:ser>
          <c:idx val="1"/>
          <c:order val="1"/>
          <c:tx>
            <c:strRef>
              <c:f>'Reference Curves'!$AE$119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562851092144495"/>
                  <c:y val="2.2232766989799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Curves'!$AD$115:$AI$115</c:f>
              <c:numCache>
                <c:formatCode>0.0</c:formatCode>
                <c:ptCount val="6"/>
                <c:pt idx="0">
                  <c:v>0</c:v>
                </c:pt>
                <c:pt idx="2">
                  <c:v>6.3</c:v>
                </c:pt>
                <c:pt idx="4">
                  <c:v>14.7</c:v>
                </c:pt>
                <c:pt idx="5">
                  <c:v>21</c:v>
                </c:pt>
              </c:numCache>
            </c:numRef>
          </c:xVal>
          <c:yVal>
            <c:numRef>
              <c:f>'Reference Curves'!$AD$117:$AI$117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3-4C95-8223-00C705E1E09E}"/>
            </c:ext>
          </c:extLst>
        </c:ser>
        <c:ser>
          <c:idx val="2"/>
          <c:order val="2"/>
          <c:tx>
            <c:strRef>
              <c:f>'Reference Curves'!$AF$119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642198163025781"/>
                  <c:y val="0.193102426077369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Curves'!$AD$116:$AI$116</c:f>
              <c:numCache>
                <c:formatCode>0.0</c:formatCode>
                <c:ptCount val="6"/>
                <c:pt idx="0">
                  <c:v>0</c:v>
                </c:pt>
                <c:pt idx="2">
                  <c:v>5.4</c:v>
                </c:pt>
                <c:pt idx="4">
                  <c:v>12.6</c:v>
                </c:pt>
                <c:pt idx="5">
                  <c:v>18</c:v>
                </c:pt>
              </c:numCache>
            </c:numRef>
          </c:xVal>
          <c:yVal>
            <c:numRef>
              <c:f>'Reference Curves'!$AD$117:$AI$117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3-4C95-8223-00C705E1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80648"/>
        <c:axId val="387080256"/>
      </c:scatterChart>
      <c:valAx>
        <c:axId val="38708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layout>
            <c:manualLayout>
              <c:xMode val="edge"/>
              <c:yMode val="edge"/>
              <c:x val="0.39253730904856216"/>
              <c:y val="0.92867222189200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80256"/>
        <c:crosses val="autoZero"/>
        <c:crossBetween val="midCat"/>
      </c:valAx>
      <c:valAx>
        <c:axId val="3870802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80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Mountains &amp; 5 &lt; DA &lt; 10</a:t>
            </a:r>
            <a:r>
              <a:rPr lang="en-US" baseline="0"/>
              <a:t> </a:t>
            </a:r>
            <a:r>
              <a:rPr lang="en-US"/>
              <a:t>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Curves'!$AD$153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08366644219025"/>
                  <c:y val="0.417063910740670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Curves'!$AD$148:$AI$148</c:f>
              <c:numCache>
                <c:formatCode>0.0</c:formatCode>
                <c:ptCount val="6"/>
                <c:pt idx="0">
                  <c:v>0</c:v>
                </c:pt>
                <c:pt idx="2">
                  <c:v>4.8</c:v>
                </c:pt>
                <c:pt idx="4">
                  <c:v>11.200000000000001</c:v>
                </c:pt>
                <c:pt idx="5">
                  <c:v>16</c:v>
                </c:pt>
              </c:numCache>
            </c:numRef>
          </c:xVal>
          <c:yVal>
            <c:numRef>
              <c:f>'Reference Curves'!$AD$151:$AI$151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5-4028-A1F1-4E21D1536EE8}"/>
            </c:ext>
          </c:extLst>
        </c:ser>
        <c:ser>
          <c:idx val="1"/>
          <c:order val="1"/>
          <c:tx>
            <c:strRef>
              <c:f>'Reference Curves'!$AE$153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7447566935525069"/>
                  <c:y val="3.45195878487224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Curves'!$AD$149:$AI$149</c:f>
              <c:numCache>
                <c:formatCode>0.0</c:formatCode>
                <c:ptCount val="6"/>
                <c:pt idx="0">
                  <c:v>0</c:v>
                </c:pt>
                <c:pt idx="2">
                  <c:v>4.2</c:v>
                </c:pt>
                <c:pt idx="4">
                  <c:v>9.8000000000000007</c:v>
                </c:pt>
                <c:pt idx="5">
                  <c:v>14.000000000000002</c:v>
                </c:pt>
              </c:numCache>
            </c:numRef>
          </c:xVal>
          <c:yVal>
            <c:numRef>
              <c:f>'Reference Curves'!$AD$151:$AI$151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5-4028-A1F1-4E21D1536EE8}"/>
            </c:ext>
          </c:extLst>
        </c:ser>
        <c:ser>
          <c:idx val="2"/>
          <c:order val="2"/>
          <c:tx>
            <c:strRef>
              <c:f>'Reference Curves'!$AF$153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201525916166997"/>
                  <c:y val="0.133874206499632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Curves'!$AD$150:$AI$150</c:f>
              <c:numCache>
                <c:formatCode>0.0</c:formatCode>
                <c:ptCount val="6"/>
                <c:pt idx="0">
                  <c:v>0</c:v>
                </c:pt>
                <c:pt idx="2">
                  <c:v>3.5999999999999996</c:v>
                </c:pt>
                <c:pt idx="4">
                  <c:v>8.4</c:v>
                </c:pt>
                <c:pt idx="5">
                  <c:v>12</c:v>
                </c:pt>
              </c:numCache>
            </c:numRef>
          </c:xVal>
          <c:yVal>
            <c:numRef>
              <c:f>'Reference Curves'!$AD$151:$AI$151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5-4028-A1F1-4E21D153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81432"/>
        <c:axId val="387077120"/>
      </c:scatterChart>
      <c:valAx>
        <c:axId val="38708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7120"/>
        <c:crosses val="autoZero"/>
        <c:crossBetween val="midCat"/>
      </c:valAx>
      <c:valAx>
        <c:axId val="3870771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8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Fecal Coliform Bacteria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Curves'!$AC$44</c:f>
              <c:strCache>
                <c:ptCount val="1"/>
                <c:pt idx="0">
                  <c:v>Fecal Coliform Bacteria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0"/>
            <c:backward val="100"/>
            <c:dispRSqr val="0"/>
            <c:dispEq val="1"/>
            <c:trendlineLbl>
              <c:layout>
                <c:manualLayout>
                  <c:x val="-8.1959020752089357E-2"/>
                  <c:y val="-0.4254201574601721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Curves'!$AD$45:$AI$45</c:f>
              <c:numCache>
                <c:formatCode>General</c:formatCode>
                <c:ptCount val="6"/>
                <c:pt idx="2">
                  <c:v>200</c:v>
                </c:pt>
                <c:pt idx="4" formatCode="0">
                  <c:v>108</c:v>
                </c:pt>
              </c:numCache>
            </c:numRef>
          </c:xVal>
          <c:yVal>
            <c:numRef>
              <c:f>'Reference Curves'!$AD$46:$AI$46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8E-49AB-B113-613C09E7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77512"/>
        <c:axId val="387081824"/>
      </c:scatterChart>
      <c:valAx>
        <c:axId val="38707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(CFU/100ml)</a:t>
                </a:r>
              </a:p>
            </c:rich>
          </c:tx>
          <c:layout>
            <c:manualLayout>
              <c:xMode val="edge"/>
              <c:yMode val="edge"/>
              <c:x val="0.42629064642909137"/>
              <c:y val="0.94062869181654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81824"/>
        <c:crosses val="autoZero"/>
        <c:crossBetween val="midCat"/>
      </c:valAx>
      <c:valAx>
        <c:axId val="3870818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Streambank Erosion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24948641119444531"/>
                  <c:y val="-0.1751717236854204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Curves'!$Y$112:$Z$112</c:f>
              <c:numCache>
                <c:formatCode>General</c:formatCode>
                <c:ptCount val="2"/>
                <c:pt idx="0">
                  <c:v>11</c:v>
                </c:pt>
                <c:pt idx="1">
                  <c:v>5</c:v>
                </c:pt>
              </c:numCache>
            </c:numRef>
          </c:xVal>
          <c:yVal>
            <c:numRef>
              <c:f>'Reference Curves'!$Y$113:$Z$113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F-4E8C-BFDB-96A60E7B153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583429648191216E-2"/>
                  <c:y val="-0.309050536256139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Curves'!$U$112:$Y$112</c:f>
              <c:numCache>
                <c:formatCode>General</c:formatCode>
                <c:ptCount val="5"/>
                <c:pt idx="0">
                  <c:v>50</c:v>
                </c:pt>
                <c:pt idx="4">
                  <c:v>11</c:v>
                </c:pt>
              </c:numCache>
            </c:numRef>
          </c:xVal>
          <c:yVal>
            <c:numRef>
              <c:f>'Reference Curves'!$U$113:$Y$113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6F-4E8C-BFDB-96A60E7B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79864"/>
        <c:axId val="387078688"/>
      </c:scatterChart>
      <c:valAx>
        <c:axId val="38707986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8688"/>
        <c:crosses val="autoZero"/>
        <c:crossBetween val="midCat"/>
      </c:valAx>
      <c:valAx>
        <c:axId val="3870786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</a:t>
                </a:r>
                <a:r>
                  <a:rPr lang="en-US" sz="1100" baseline="0"/>
                  <a:t> Value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Buffer Width - </a:t>
            </a:r>
            <a:r>
              <a:rPr lang="en-US" sz="1400" b="0" i="0" u="none" strike="noStrike" baseline="0">
                <a:effectLst/>
              </a:rPr>
              <a:t>Colluvial or Confined Alluvial Valleys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Curves'!$T$178</c:f>
              <c:strCache>
                <c:ptCount val="1"/>
                <c:pt idx="0">
                  <c:v>Field Value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54505420421658257"/>
                  <c:y val="8.56487244578250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908059542638997"/>
                  <c:y val="0.17555420921016268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Curves'!$U$178:$X$178</c:f>
              <c:numCache>
                <c:formatCode>General</c:formatCode>
                <c:ptCount val="4"/>
                <c:pt idx="0">
                  <c:v>0</c:v>
                </c:pt>
                <c:pt idx="3">
                  <c:v>34</c:v>
                </c:pt>
              </c:numCache>
            </c:numRef>
          </c:xVal>
          <c:yVal>
            <c:numRef>
              <c:f>'Reference Curves'!$U$179:$X$179</c:f>
              <c:numCache>
                <c:formatCode>0.00</c:formatCode>
                <c:ptCount val="4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5-4A20-9EFF-47256D0EC775}"/>
            </c:ext>
          </c:extLst>
        </c:ser>
        <c:ser>
          <c:idx val="1"/>
          <c:order val="1"/>
          <c:tx>
            <c:strRef>
              <c:f>'Reference Curves'!$T$178</c:f>
              <c:strCache>
                <c:ptCount val="1"/>
                <c:pt idx="0">
                  <c:v>Field Value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9192793737791514E-2"/>
                  <c:y val="0.151316114576437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Curves'!$X$178:$Z$178</c:f>
              <c:numCache>
                <c:formatCode>General</c:formatCode>
                <c:ptCount val="3"/>
                <c:pt idx="0">
                  <c:v>34</c:v>
                </c:pt>
                <c:pt idx="2">
                  <c:v>50</c:v>
                </c:pt>
              </c:numCache>
            </c:numRef>
          </c:xVal>
          <c:yVal>
            <c:numRef>
              <c:f>'Reference Curves'!$X$179:$Z$179</c:f>
              <c:numCache>
                <c:formatCode>0.00</c:formatCode>
                <c:ptCount val="3"/>
                <c:pt idx="0">
                  <c:v>0.69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745-4A20-9EFF-47256D0E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76728"/>
        <c:axId val="387077904"/>
        <c:extLst/>
      </c:scatterChart>
      <c:valAx>
        <c:axId val="38707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7904"/>
        <c:crosses val="autoZero"/>
        <c:crossBetween val="midCat"/>
      </c:valAx>
      <c:valAx>
        <c:axId val="3870779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</a:t>
                </a:r>
                <a:r>
                  <a:rPr lang="en-US" sz="1100" baseline="0"/>
                  <a:t> Value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6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Basal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0.20980889652836723"/>
                  <c:y val="0.18500216271989581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8.7915249025423303E-2"/>
                  <c:y val="4.0494730280579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Curves'!$U$246:$W$246</c:f>
              <c:numCache>
                <c:formatCode>General</c:formatCode>
                <c:ptCount val="3"/>
                <c:pt idx="0">
                  <c:v>0</c:v>
                </c:pt>
                <c:pt idx="2">
                  <c:v>40</c:v>
                </c:pt>
              </c:numCache>
            </c:numRef>
          </c:xVal>
          <c:yVal>
            <c:numRef>
              <c:f>'Reference Curves'!$U$247:$W$247</c:f>
              <c:numCache>
                <c:formatCode>General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E6-495F-91B4-6522032056BB}"/>
            </c:ext>
          </c:extLst>
        </c:ser>
        <c:ser>
          <c:idx val="1"/>
          <c:order val="1"/>
          <c:tx>
            <c:v>FAR-F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390444968123441"/>
                  <c:y val="0.17617993273802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Curves'!$W$246:$Z$246</c:f>
              <c:numCache>
                <c:formatCode>General</c:formatCode>
                <c:ptCount val="4"/>
                <c:pt idx="0">
                  <c:v>40</c:v>
                </c:pt>
                <c:pt idx="3">
                  <c:v>100</c:v>
                </c:pt>
              </c:numCache>
            </c:numRef>
          </c:xVal>
          <c:yVal>
            <c:numRef>
              <c:f>'Reference Curves'!$W$247:$Z$247</c:f>
              <c:numCache>
                <c:formatCode>General</c:formatCode>
                <c:ptCount val="4"/>
                <c:pt idx="0">
                  <c:v>0.3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E6-495F-91B4-652203205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30096"/>
        <c:axId val="387529312"/>
      </c:scatterChart>
      <c:valAx>
        <c:axId val="38753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9312"/>
        <c:crosses val="autoZero"/>
        <c:crossBetween val="midCat"/>
      </c:valAx>
      <c:valAx>
        <c:axId val="387529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3246601125543879E-2"/>
              <c:y val="0.412115609007269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3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Full Scale - Mountains</a:t>
            </a:r>
          </a:p>
        </c:rich>
      </c:tx>
      <c:layout>
        <c:manualLayout>
          <c:xMode val="edge"/>
          <c:yMode val="edge"/>
          <c:x val="0.26232338203094346"/>
          <c:y val="1.9539428489666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5.7819730381796774E-2"/>
                  <c:y val="-3.62560928995730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Curves'!$AM$286:$AO$286</c:f>
              <c:numCache>
                <c:formatCode>0.0000</c:formatCode>
                <c:ptCount val="3"/>
                <c:pt idx="0" formatCode="General">
                  <c:v>0</c:v>
                </c:pt>
                <c:pt idx="2" formatCode="General">
                  <c:v>20</c:v>
                </c:pt>
              </c:numCache>
            </c:numRef>
          </c:xVal>
          <c:yVal>
            <c:numRef>
              <c:f>'Reference Curves'!$AM$287:$AO$287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6-480A-BDDB-7E4F47B0D14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725480362538844"/>
                  <c:y val="4.79647948634098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Curves'!$AO$286:$AR$286</c:f>
              <c:numCache>
                <c:formatCode>General</c:formatCode>
                <c:ptCount val="4"/>
                <c:pt idx="0">
                  <c:v>20</c:v>
                </c:pt>
                <c:pt idx="2">
                  <c:v>34</c:v>
                </c:pt>
                <c:pt idx="3">
                  <c:v>44</c:v>
                </c:pt>
              </c:numCache>
            </c:numRef>
          </c:xVal>
          <c:yVal>
            <c:numRef>
              <c:f>'Reference Curves'!$AO$287:$AR$287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36-480A-BDDB-7E4F47B0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5784"/>
        <c:axId val="387528528"/>
      </c:scatterChart>
      <c:valAx>
        <c:axId val="3875257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528"/>
        <c:crosses val="autoZero"/>
        <c:crossBetween val="midCat"/>
      </c:valAx>
      <c:valAx>
        <c:axId val="387528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1349222363794587E-2"/>
              <c:y val="0.40204638848705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Full Scale - Piedmont</a:t>
            </a:r>
          </a:p>
        </c:rich>
      </c:tx>
      <c:layout>
        <c:manualLayout>
          <c:xMode val="edge"/>
          <c:yMode val="edge"/>
          <c:x val="0.25894290810990078"/>
          <c:y val="1.488095238095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26468745120785508"/>
                  <c:y val="0.17750745953738015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Curves'!$AM$319:$AO$319</c:f>
              <c:numCache>
                <c:formatCode>General</c:formatCode>
                <c:ptCount val="3"/>
                <c:pt idx="0">
                  <c:v>0</c:v>
                </c:pt>
                <c:pt idx="2">
                  <c:v>14</c:v>
                </c:pt>
              </c:numCache>
            </c:numRef>
          </c:xVal>
          <c:yVal>
            <c:numRef>
              <c:f>'Reference Curves'!$AM$320:$AO$320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B-426B-A2E4-26C9233DA25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3737888977645063"/>
                  <c:y val="7.413690476190476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Curves'!$AO$319:$AR$319</c:f>
              <c:numCache>
                <c:formatCode>General</c:formatCode>
                <c:ptCount val="4"/>
                <c:pt idx="0">
                  <c:v>14</c:v>
                </c:pt>
                <c:pt idx="2">
                  <c:v>26</c:v>
                </c:pt>
                <c:pt idx="3">
                  <c:v>34</c:v>
                </c:pt>
              </c:numCache>
            </c:numRef>
          </c:xVal>
          <c:yVal>
            <c:numRef>
              <c:f>'Reference Curves'!$AO$320:$AR$320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B-426B-A2E4-26C9233D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8920"/>
        <c:axId val="387528136"/>
      </c:scatterChart>
      <c:valAx>
        <c:axId val="3875289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layout>
            <c:manualLayout>
              <c:xMode val="edge"/>
              <c:yMode val="edge"/>
              <c:x val="0.42428836767005101"/>
              <c:y val="0.93762684919285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136"/>
        <c:crosses val="autoZero"/>
        <c:crossBetween val="midCat"/>
      </c:valAx>
      <c:valAx>
        <c:axId val="387528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5701797953008353E-2"/>
              <c:y val="0.41043587137101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Full Scale - Coastal Plains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11759476179572177"/>
                  <c:y val="9.0807522795250985E-3"/>
                </c:manualLayout>
              </c:layout>
              <c:numFmt formatCode="#,##0.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Curves'!$AM$354:$AO$354</c:f>
              <c:numCache>
                <c:formatCode>General</c:formatCode>
                <c:ptCount val="3"/>
                <c:pt idx="0">
                  <c:v>0</c:v>
                </c:pt>
                <c:pt idx="2">
                  <c:v>13</c:v>
                </c:pt>
              </c:numCache>
            </c:numRef>
          </c:xVal>
          <c:yVal>
            <c:numRef>
              <c:f>'Reference Curves'!$AM$355:$AO$355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4-4972-B84E-65C2494DE73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0571007356844846"/>
                  <c:y val="5.27573313104002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Curves'!$AO$354:$AR$354</c:f>
              <c:numCache>
                <c:formatCode>General</c:formatCode>
                <c:ptCount val="4"/>
                <c:pt idx="0">
                  <c:v>13</c:v>
                </c:pt>
                <c:pt idx="2">
                  <c:v>22</c:v>
                </c:pt>
                <c:pt idx="3">
                  <c:v>29</c:v>
                </c:pt>
              </c:numCache>
            </c:numRef>
          </c:xVal>
          <c:yVal>
            <c:numRef>
              <c:f>'Reference Curves'!$AO$355:$AR$355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4-4972-B84E-65C2494D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3432"/>
        <c:axId val="387526176"/>
      </c:scatterChart>
      <c:valAx>
        <c:axId val="3875234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</a:t>
                </a:r>
                <a:r>
                  <a:rPr lang="en-US" sz="1100" baseline="0"/>
                  <a:t> Value (Unitless)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6176"/>
        <c:crosses val="autoZero"/>
        <c:crossBetween val="midCat"/>
      </c:valAx>
      <c:valAx>
        <c:axId val="387526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3391098996247505E-2"/>
              <c:y val="0.40500194440356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3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Mountains &amp; DA ≥ 10</a:t>
            </a:r>
            <a:r>
              <a:rPr lang="en-US" baseline="0"/>
              <a:t> </a:t>
            </a:r>
            <a:r>
              <a:rPr lang="en-US"/>
              <a:t>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Curves'!$AD$187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572812731352154E-2"/>
                  <c:y val="0.21589404868709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Curves'!$AD$182:$AI$182</c:f>
              <c:numCache>
                <c:formatCode>0.0</c:formatCode>
                <c:ptCount val="6"/>
                <c:pt idx="0">
                  <c:v>0</c:v>
                </c:pt>
                <c:pt idx="2">
                  <c:v>4.2</c:v>
                </c:pt>
                <c:pt idx="4">
                  <c:v>9.8000000000000007</c:v>
                </c:pt>
                <c:pt idx="5">
                  <c:v>14.000000000000002</c:v>
                </c:pt>
              </c:numCache>
            </c:numRef>
          </c:xVal>
          <c:yVal>
            <c:numRef>
              <c:f>'Reference Curves'!$AD$185:$AI$185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E-47A7-89F3-79EF9ACB99F8}"/>
            </c:ext>
          </c:extLst>
        </c:ser>
        <c:ser>
          <c:idx val="1"/>
          <c:order val="1"/>
          <c:tx>
            <c:strRef>
              <c:f>'Reference Curves'!$AE$187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755688271040481"/>
                  <c:y val="0.245413458419027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Curves'!$AD$183:$AI$183</c:f>
              <c:numCache>
                <c:formatCode>0.0</c:formatCode>
                <c:ptCount val="6"/>
                <c:pt idx="0">
                  <c:v>0</c:v>
                </c:pt>
                <c:pt idx="2">
                  <c:v>4.8</c:v>
                </c:pt>
                <c:pt idx="4">
                  <c:v>11.200000000000001</c:v>
                </c:pt>
                <c:pt idx="5">
                  <c:v>16</c:v>
                </c:pt>
              </c:numCache>
            </c:numRef>
          </c:xVal>
          <c:yVal>
            <c:numRef>
              <c:f>'Reference Curves'!$AD$185:$AI$185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CE-47A7-89F3-79EF9ACB99F8}"/>
            </c:ext>
          </c:extLst>
        </c:ser>
        <c:ser>
          <c:idx val="2"/>
          <c:order val="2"/>
          <c:tx>
            <c:strRef>
              <c:f>'Reference Curves'!$AF$187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0466146032898242"/>
                  <c:y val="0.100515279174660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Curves'!$AD$184:$AI$184</c:f>
              <c:numCache>
                <c:formatCode>0.0</c:formatCode>
                <c:ptCount val="6"/>
                <c:pt idx="0">
                  <c:v>0</c:v>
                </c:pt>
                <c:pt idx="2">
                  <c:v>4.5</c:v>
                </c:pt>
                <c:pt idx="4">
                  <c:v>10.5</c:v>
                </c:pt>
                <c:pt idx="5">
                  <c:v>15</c:v>
                </c:pt>
              </c:numCache>
            </c:numRef>
          </c:xVal>
          <c:yVal>
            <c:numRef>
              <c:f>'Reference Curves'!$AD$185:$AI$185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CE-47A7-89F3-79EF9ACB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3824"/>
        <c:axId val="387524608"/>
      </c:scatterChart>
      <c:valAx>
        <c:axId val="38752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</a:t>
                </a:r>
                <a:r>
                  <a:rPr lang="en-US" sz="1100" baseline="0"/>
                  <a:t> (%)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33399119899302526"/>
              <c:y val="0.92718533213216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4608"/>
        <c:crosses val="autoZero"/>
        <c:crossBetween val="midCat"/>
      </c:valAx>
      <c:valAx>
        <c:axId val="3875246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Piedmont &amp; DA ≤ 5 </a:t>
            </a:r>
            <a:r>
              <a:rPr lang="en-US" sz="1400" b="0" i="0" u="none" strike="noStrike" baseline="0">
                <a:effectLst/>
              </a:rPr>
              <a:t>Sq. Mi.</a:t>
            </a:r>
            <a:endParaRPr lang="en-US"/>
          </a:p>
        </c:rich>
      </c:tx>
      <c:layout>
        <c:manualLayout>
          <c:xMode val="edge"/>
          <c:yMode val="edge"/>
          <c:x val="0.23511562831878594"/>
          <c:y val="1.7986188872922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Curves'!$AD$221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5962377625615112E-2"/>
                  <c:y val="0.310759226906222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Curves'!$AD$216:$AI$216</c:f>
              <c:numCache>
                <c:formatCode>General</c:formatCode>
                <c:ptCount val="6"/>
                <c:pt idx="0" formatCode="0.0">
                  <c:v>0</c:v>
                </c:pt>
                <c:pt idx="2">
                  <c:v>5.4</c:v>
                </c:pt>
                <c:pt idx="4">
                  <c:v>12.6</c:v>
                </c:pt>
                <c:pt idx="5">
                  <c:v>18</c:v>
                </c:pt>
              </c:numCache>
            </c:numRef>
          </c:xVal>
          <c:yVal>
            <c:numRef>
              <c:f>'Reference Curves'!$AD$219:$AI$219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B-44B9-8B93-88D33C54109C}"/>
            </c:ext>
          </c:extLst>
        </c:ser>
        <c:ser>
          <c:idx val="1"/>
          <c:order val="1"/>
          <c:tx>
            <c:strRef>
              <c:f>'Reference Curves'!$AE$221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9085374818811958E-2"/>
                  <c:y val="7.46726608040817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Curves'!$AD$217:$AI$217</c:f>
              <c:numCache>
                <c:formatCode>0.0</c:formatCode>
                <c:ptCount val="6"/>
                <c:pt idx="0">
                  <c:v>0</c:v>
                </c:pt>
                <c:pt idx="2">
                  <c:v>3.5999999999999996</c:v>
                </c:pt>
                <c:pt idx="4">
                  <c:v>8.4</c:v>
                </c:pt>
                <c:pt idx="5">
                  <c:v>12</c:v>
                </c:pt>
              </c:numCache>
            </c:numRef>
          </c:xVal>
          <c:yVal>
            <c:numRef>
              <c:f>'Reference Curves'!$AD$219:$AI$219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B-44B9-8B93-88D33C54109C}"/>
            </c:ext>
          </c:extLst>
        </c:ser>
        <c:ser>
          <c:idx val="2"/>
          <c:order val="2"/>
          <c:tx>
            <c:strRef>
              <c:f>'Reference Curves'!$AF$221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8572006239258992E-2"/>
                  <c:y val="5.0691075640185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Curves'!$AD$218:$AI$218</c:f>
              <c:numCache>
                <c:formatCode>General</c:formatCode>
                <c:ptCount val="6"/>
                <c:pt idx="0" formatCode="0.0">
                  <c:v>0</c:v>
                </c:pt>
                <c:pt idx="2">
                  <c:v>4.2</c:v>
                </c:pt>
                <c:pt idx="4">
                  <c:v>9.8000000000000007</c:v>
                </c:pt>
                <c:pt idx="5">
                  <c:v>14.000000000000002</c:v>
                </c:pt>
              </c:numCache>
            </c:numRef>
          </c:xVal>
          <c:yVal>
            <c:numRef>
              <c:f>'Reference Curves'!$AD$219:$AI$219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4B-44B9-8B93-88D33C54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4216"/>
        <c:axId val="387525000"/>
      </c:scatterChart>
      <c:valAx>
        <c:axId val="387524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layout>
            <c:manualLayout>
              <c:xMode val="edge"/>
              <c:yMode val="edge"/>
              <c:x val="0.33482121428702211"/>
              <c:y val="0.93092288653975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5000"/>
        <c:crosses val="autoZero"/>
        <c:crossBetween val="midCat"/>
      </c:valAx>
      <c:valAx>
        <c:axId val="3875250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4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Piedmont &amp; 5 &lt; DA &lt; 10</a:t>
            </a:r>
            <a:r>
              <a:rPr lang="en-US" baseline="0"/>
              <a:t> </a:t>
            </a:r>
            <a:r>
              <a:rPr lang="en-US" sz="1400" b="0" i="0" u="none" strike="noStrike" baseline="0">
                <a:effectLst/>
              </a:rPr>
              <a:t>Sq. Mi.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Curves'!$AD$257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3299077249344965E-2"/>
                  <c:y val="0.205935895916813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Curves'!$AD$252:$AI$252</c:f>
              <c:numCache>
                <c:formatCode>0.0</c:formatCode>
                <c:ptCount val="6"/>
                <c:pt idx="0">
                  <c:v>0</c:v>
                </c:pt>
                <c:pt idx="2">
                  <c:v>3.5999999999999996</c:v>
                </c:pt>
                <c:pt idx="4">
                  <c:v>8.4</c:v>
                </c:pt>
                <c:pt idx="5">
                  <c:v>12</c:v>
                </c:pt>
              </c:numCache>
            </c:numRef>
          </c:xVal>
          <c:yVal>
            <c:numRef>
              <c:f>'Reference Curves'!$AD$255:$AI$255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91-4E94-A9BE-6EB48EFAFC4D}"/>
            </c:ext>
          </c:extLst>
        </c:ser>
        <c:ser>
          <c:idx val="1"/>
          <c:order val="1"/>
          <c:tx>
            <c:strRef>
              <c:f>'Reference Curves'!$AE$257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1710141233825241E-2"/>
                  <c:y val="5.51137544868654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Curves'!$AD$253:$AI$253</c:f>
              <c:numCache>
                <c:formatCode>0.0</c:formatCode>
                <c:ptCount val="6"/>
                <c:pt idx="0">
                  <c:v>0</c:v>
                </c:pt>
                <c:pt idx="2">
                  <c:v>1.5</c:v>
                </c:pt>
                <c:pt idx="4">
                  <c:v>3.5000000000000004</c:v>
                </c:pt>
                <c:pt idx="5">
                  <c:v>5</c:v>
                </c:pt>
              </c:numCache>
            </c:numRef>
          </c:xVal>
          <c:yVal>
            <c:numRef>
              <c:f>'Reference Curves'!$AD$255:$AI$255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91-4E94-A9BE-6EB48EFAFC4D}"/>
            </c:ext>
          </c:extLst>
        </c:ser>
        <c:ser>
          <c:idx val="2"/>
          <c:order val="2"/>
          <c:tx>
            <c:strRef>
              <c:f>'Reference Curves'!$AF$257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8377893371407552E-2"/>
                  <c:y val="6.15455423566129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Curves'!$AD$254:$AI$254</c:f>
              <c:numCache>
                <c:formatCode>0.0</c:formatCode>
                <c:ptCount val="6"/>
                <c:pt idx="0">
                  <c:v>0</c:v>
                </c:pt>
                <c:pt idx="2">
                  <c:v>2.4</c:v>
                </c:pt>
                <c:pt idx="4">
                  <c:v>5.6000000000000005</c:v>
                </c:pt>
                <c:pt idx="5">
                  <c:v>8</c:v>
                </c:pt>
              </c:numCache>
            </c:numRef>
          </c:xVal>
          <c:yVal>
            <c:numRef>
              <c:f>'Reference Curves'!$AD$255:$AI$255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91-4E94-A9BE-6EB48EFAF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92128"/>
        <c:axId val="387588600"/>
      </c:scatterChart>
      <c:valAx>
        <c:axId val="38759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8600"/>
        <c:crosses val="autoZero"/>
        <c:crossBetween val="midCat"/>
      </c:valAx>
      <c:valAx>
        <c:axId val="387588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2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Piedmont &amp; DA ≥10</a:t>
            </a:r>
            <a:r>
              <a:rPr lang="en-US" baseline="0"/>
              <a:t> </a:t>
            </a:r>
            <a:r>
              <a:rPr lang="en-US"/>
              <a:t>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Curves'!$AD$291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3674822821824627E-2"/>
                  <c:y val="0.277673678637339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Curves'!$AD$286:$AI$286</c:f>
              <c:numCache>
                <c:formatCode>0.0</c:formatCode>
                <c:ptCount val="6"/>
                <c:pt idx="0">
                  <c:v>0</c:v>
                </c:pt>
                <c:pt idx="2">
                  <c:v>2.4</c:v>
                </c:pt>
                <c:pt idx="4">
                  <c:v>5.6000000000000005</c:v>
                </c:pt>
                <c:pt idx="5">
                  <c:v>8</c:v>
                </c:pt>
              </c:numCache>
            </c:numRef>
          </c:xVal>
          <c:yVal>
            <c:numRef>
              <c:f>'Reference Curves'!$AD$289:$AI$289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E-49BE-9EE5-0E98CE8C761B}"/>
            </c:ext>
          </c:extLst>
        </c:ser>
        <c:ser>
          <c:idx val="1"/>
          <c:order val="1"/>
          <c:tx>
            <c:strRef>
              <c:f>'Reference Curves'!$AE$291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8757518901838167E-2"/>
                  <c:y val="3.43420915121494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Curves'!$AD$287:$AI$287</c:f>
              <c:numCache>
                <c:formatCode>0.0</c:formatCode>
                <c:ptCount val="6"/>
                <c:pt idx="0">
                  <c:v>0</c:v>
                </c:pt>
                <c:pt idx="2">
                  <c:v>2.1</c:v>
                </c:pt>
                <c:pt idx="4">
                  <c:v>4.9000000000000004</c:v>
                </c:pt>
                <c:pt idx="5">
                  <c:v>7.0000000000000009</c:v>
                </c:pt>
              </c:numCache>
            </c:numRef>
          </c:xVal>
          <c:yVal>
            <c:numRef>
              <c:f>'Reference Curves'!$AD$289:$AI$289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E-49BE-9EE5-0E98CE8C761B}"/>
            </c:ext>
          </c:extLst>
        </c:ser>
        <c:ser>
          <c:idx val="2"/>
          <c:order val="2"/>
          <c:tx>
            <c:strRef>
              <c:f>'Reference Curves'!$AF$291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6399617153402975E-2"/>
                  <c:y val="0.190284989397793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Curves'!$AD$288:$AI$288</c:f>
              <c:numCache>
                <c:formatCode>0.0</c:formatCode>
                <c:ptCount val="6"/>
                <c:pt idx="0">
                  <c:v>0</c:v>
                </c:pt>
                <c:pt idx="2">
                  <c:v>2.4</c:v>
                </c:pt>
                <c:pt idx="4">
                  <c:v>5.6000000000000005</c:v>
                </c:pt>
                <c:pt idx="5">
                  <c:v>8</c:v>
                </c:pt>
              </c:numCache>
            </c:numRef>
          </c:xVal>
          <c:yVal>
            <c:numRef>
              <c:f>'Reference Curves'!$AD$289:$AI$289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E-49BE-9EE5-0E98CE8C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93696"/>
        <c:axId val="387591736"/>
      </c:scatterChart>
      <c:valAx>
        <c:axId val="38759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1736"/>
        <c:crosses val="autoZero"/>
        <c:crossBetween val="midCat"/>
      </c:valAx>
      <c:valAx>
        <c:axId val="387591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3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Coastal &amp; DA ≤5 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Curves'!$AD$323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4373442476634239E-2"/>
                  <c:y val="0.261538855009863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Curves'!$AD$318:$AI$318</c:f>
              <c:numCache>
                <c:formatCode>General</c:formatCode>
                <c:ptCount val="6"/>
                <c:pt idx="0" formatCode="0.0">
                  <c:v>0</c:v>
                </c:pt>
                <c:pt idx="2">
                  <c:v>9.9</c:v>
                </c:pt>
                <c:pt idx="4">
                  <c:v>23.1</c:v>
                </c:pt>
                <c:pt idx="5">
                  <c:v>33</c:v>
                </c:pt>
              </c:numCache>
            </c:numRef>
          </c:xVal>
          <c:yVal>
            <c:numRef>
              <c:f>'Reference Curves'!$AD$321:$AI$321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21-4561-A644-59142630EA66}"/>
            </c:ext>
          </c:extLst>
        </c:ser>
        <c:ser>
          <c:idx val="1"/>
          <c:order val="1"/>
          <c:tx>
            <c:strRef>
              <c:f>'Reference Curves'!$AE$323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1206630754652713E-2"/>
                  <c:y val="3.48861157101306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Curves'!$AD$319:$AI$319</c:f>
              <c:numCache>
                <c:formatCode>0.0</c:formatCode>
                <c:ptCount val="6"/>
                <c:pt idx="0">
                  <c:v>0</c:v>
                </c:pt>
                <c:pt idx="2">
                  <c:v>4.2</c:v>
                </c:pt>
                <c:pt idx="4">
                  <c:v>9.8000000000000007</c:v>
                </c:pt>
                <c:pt idx="5">
                  <c:v>14.000000000000002</c:v>
                </c:pt>
              </c:numCache>
            </c:numRef>
          </c:xVal>
          <c:yVal>
            <c:numRef>
              <c:f>'Reference Curves'!$AD$321:$AI$321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21-4561-A644-59142630EA66}"/>
            </c:ext>
          </c:extLst>
        </c:ser>
        <c:ser>
          <c:idx val="2"/>
          <c:order val="2"/>
          <c:tx>
            <c:strRef>
              <c:f>'Reference Curves'!$AF$323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7565640047975957E-2"/>
                  <c:y val="3.203467739275368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Curves'!$AD$320:$AI$320</c:f>
              <c:numCache>
                <c:formatCode>General</c:formatCode>
                <c:ptCount val="6"/>
                <c:pt idx="0" formatCode="0.0">
                  <c:v>0</c:v>
                </c:pt>
                <c:pt idx="2">
                  <c:v>7.5</c:v>
                </c:pt>
                <c:pt idx="4">
                  <c:v>17.5</c:v>
                </c:pt>
                <c:pt idx="5">
                  <c:v>25</c:v>
                </c:pt>
              </c:numCache>
            </c:numRef>
          </c:xVal>
          <c:yVal>
            <c:numRef>
              <c:f>'Reference Curves'!$AD$321:$AI$321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21-4561-A644-59142630E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90560"/>
        <c:axId val="387594088"/>
      </c:scatterChart>
      <c:valAx>
        <c:axId val="38759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4088"/>
        <c:crosses val="autoZero"/>
        <c:crossBetween val="midCat"/>
      </c:valAx>
      <c:valAx>
        <c:axId val="387594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0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Coastal &amp; 5 &lt; DA &lt; 10</a:t>
            </a:r>
            <a:r>
              <a:rPr lang="en-US" baseline="0"/>
              <a:t> </a:t>
            </a:r>
            <a:r>
              <a:rPr lang="en-US"/>
              <a:t>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Curves'!$AD$355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5034286386277144E-2"/>
                  <c:y val="9.96808560301375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Curves'!$AD$350:$AI$350</c:f>
              <c:numCache>
                <c:formatCode>0.0</c:formatCode>
                <c:ptCount val="6"/>
                <c:pt idx="0">
                  <c:v>0</c:v>
                </c:pt>
                <c:pt idx="2">
                  <c:v>6</c:v>
                </c:pt>
                <c:pt idx="4">
                  <c:v>14.000000000000002</c:v>
                </c:pt>
                <c:pt idx="5">
                  <c:v>20</c:v>
                </c:pt>
              </c:numCache>
            </c:numRef>
          </c:xVal>
          <c:yVal>
            <c:numRef>
              <c:f>'Reference Curves'!$AD$353:$AI$353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A-4A74-8269-279AA9DF5475}"/>
            </c:ext>
          </c:extLst>
        </c:ser>
        <c:ser>
          <c:idx val="1"/>
          <c:order val="1"/>
          <c:tx>
            <c:strRef>
              <c:f>'Reference Curves'!$AE$355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816022252139746E-2"/>
                  <c:y val="7.572619635370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Curves'!$AD$351:$AI$351</c:f>
              <c:numCache>
                <c:formatCode>0.0</c:formatCode>
                <c:ptCount val="6"/>
                <c:pt idx="0">
                  <c:v>0</c:v>
                </c:pt>
                <c:pt idx="2">
                  <c:v>3.9</c:v>
                </c:pt>
                <c:pt idx="4">
                  <c:v>9.1</c:v>
                </c:pt>
                <c:pt idx="5">
                  <c:v>13</c:v>
                </c:pt>
              </c:numCache>
            </c:numRef>
          </c:xVal>
          <c:yVal>
            <c:numRef>
              <c:f>'Reference Curves'!$AD$353:$AI$353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A-4A74-8269-279AA9DF5475}"/>
            </c:ext>
          </c:extLst>
        </c:ser>
        <c:ser>
          <c:idx val="2"/>
          <c:order val="2"/>
          <c:tx>
            <c:strRef>
              <c:f>'Reference Curves'!$AF$355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8789971720687407E-2"/>
                  <c:y val="9.251239606530063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Curves'!$AD$352:$AI$352</c:f>
              <c:numCache>
                <c:formatCode>0.0</c:formatCode>
                <c:ptCount val="6"/>
                <c:pt idx="0">
                  <c:v>0</c:v>
                </c:pt>
                <c:pt idx="2">
                  <c:v>3.5999999999999996</c:v>
                </c:pt>
                <c:pt idx="4">
                  <c:v>8.4</c:v>
                </c:pt>
                <c:pt idx="5">
                  <c:v>12</c:v>
                </c:pt>
              </c:numCache>
            </c:numRef>
          </c:xVal>
          <c:yVal>
            <c:numRef>
              <c:f>'Reference Curves'!$AD$353:$AI$353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A-4A74-8269-279AA9DF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89776"/>
        <c:axId val="387593304"/>
      </c:scatterChart>
      <c:valAx>
        <c:axId val="38758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3304"/>
        <c:crosses val="autoZero"/>
        <c:crossBetween val="midCat"/>
      </c:valAx>
      <c:valAx>
        <c:axId val="3875933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Shredders - Coastal &amp; DA ≥ 10</a:t>
            </a:r>
            <a:r>
              <a:rPr lang="en-US" baseline="0"/>
              <a:t> </a:t>
            </a:r>
            <a:r>
              <a:rPr lang="en-US"/>
              <a:t>Sq. Mi.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Curves'!$AD$389</c:f>
              <c:strCache>
                <c:ptCount val="1"/>
                <c:pt idx="0">
                  <c:v>Winter/Spring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9077129959617954E-2"/>
                  <c:y val="0.342445797110926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Curves'!$AD$384:$AI$384</c:f>
              <c:numCache>
                <c:formatCode>0.0</c:formatCode>
                <c:ptCount val="6"/>
                <c:pt idx="0">
                  <c:v>0</c:v>
                </c:pt>
                <c:pt idx="2">
                  <c:v>5.0999999999999996</c:v>
                </c:pt>
                <c:pt idx="4">
                  <c:v>11.899999999999999</c:v>
                </c:pt>
                <c:pt idx="5">
                  <c:v>17</c:v>
                </c:pt>
              </c:numCache>
            </c:numRef>
          </c:xVal>
          <c:yVal>
            <c:numRef>
              <c:f>'Reference Curves'!$AD$387:$AI$387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43-4637-825E-FB06FCE4AA7E}"/>
            </c:ext>
          </c:extLst>
        </c:ser>
        <c:ser>
          <c:idx val="1"/>
          <c:order val="1"/>
          <c:tx>
            <c:strRef>
              <c:f>'Reference Curves'!$AE$389</c:f>
              <c:strCache>
                <c:ptCount val="1"/>
                <c:pt idx="0">
                  <c:v>Summer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4242215654693128E-2"/>
                  <c:y val="5.243299617009759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Curves'!$AD$385:$AI$385</c:f>
              <c:numCache>
                <c:formatCode>0.0</c:formatCode>
                <c:ptCount val="6"/>
                <c:pt idx="0">
                  <c:v>0</c:v>
                </c:pt>
                <c:pt idx="2">
                  <c:v>4.8</c:v>
                </c:pt>
                <c:pt idx="4">
                  <c:v>11.200000000000001</c:v>
                </c:pt>
                <c:pt idx="5">
                  <c:v>16</c:v>
                </c:pt>
              </c:numCache>
            </c:numRef>
          </c:xVal>
          <c:yVal>
            <c:numRef>
              <c:f>'Reference Curves'!$AD$387:$AI$387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43-4637-825E-FB06FCE4AA7E}"/>
            </c:ext>
          </c:extLst>
        </c:ser>
        <c:ser>
          <c:idx val="2"/>
          <c:order val="2"/>
          <c:tx>
            <c:strRef>
              <c:f>'Reference Curves'!$AF$389</c:f>
              <c:strCache>
                <c:ptCount val="1"/>
                <c:pt idx="0">
                  <c:v>Fall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4260070958061601E-2"/>
                  <c:y val="1.2885796041802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Curves'!$AD$386:$AI$386</c:f>
              <c:numCache>
                <c:formatCode>0.0</c:formatCode>
                <c:ptCount val="6"/>
                <c:pt idx="0">
                  <c:v>0</c:v>
                </c:pt>
                <c:pt idx="2">
                  <c:v>2.4</c:v>
                </c:pt>
                <c:pt idx="4">
                  <c:v>5.6000000000000005</c:v>
                </c:pt>
                <c:pt idx="5">
                  <c:v>8</c:v>
                </c:pt>
              </c:numCache>
            </c:numRef>
          </c:xVal>
          <c:yVal>
            <c:numRef>
              <c:f>'Reference Curves'!$AD$387:$AI$387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43-4637-825E-FB06FCE4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95656"/>
        <c:axId val="387588992"/>
      </c:scatterChart>
      <c:valAx>
        <c:axId val="38759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8992"/>
        <c:crosses val="autoZero"/>
        <c:crossBetween val="midCat"/>
      </c:valAx>
      <c:valAx>
        <c:axId val="387588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5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</a:t>
            </a:r>
            <a:r>
              <a:rPr lang="en-US" baseline="0"/>
              <a:t> Use Coefficient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>
                <a:solidFill>
                  <a:schemeClr val="accent1"/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>
                <c:manualLayout>
                  <c:x val="-5.7913293299789871E-2"/>
                  <c:y val="-0.11049304914411121"/>
                </c:manualLayout>
              </c:layout>
              <c:numFmt formatCode="General" sourceLinked="0"/>
              <c:spPr>
                <a:ln>
                  <a:solidFill>
                    <a:srgbClr val="0070C0"/>
                  </a:solidFill>
                </a:ln>
              </c:spPr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Curves'!$G$10:$H$10</c:f>
              <c:numCache>
                <c:formatCode>0</c:formatCode>
                <c:ptCount val="2"/>
                <c:pt idx="0" formatCode="General">
                  <c:v>68</c:v>
                </c:pt>
                <c:pt idx="1">
                  <c:v>55</c:v>
                </c:pt>
              </c:numCache>
            </c:numRef>
          </c:xVal>
          <c:yVal>
            <c:numRef>
              <c:f>'Reference Curves'!$G$11:$H$11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2-4E71-ACCE-16DFE10BC90E}"/>
            </c:ext>
          </c:extLst>
        </c:ser>
        <c:ser>
          <c:idx val="1"/>
          <c:order val="1"/>
          <c:tx>
            <c:v>At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>
                <a:solidFill>
                  <a:schemeClr val="accent2">
                    <a:lumMod val="75000"/>
                  </a:schemeClr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>
                <c:manualLayout>
                  <c:x val="-1.8497630509633031E-2"/>
                  <c:y val="-0.1157237218086158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Curves'!$E$10:$G$10</c:f>
              <c:numCache>
                <c:formatCode>General</c:formatCode>
                <c:ptCount val="3"/>
                <c:pt idx="0">
                  <c:v>75</c:v>
                </c:pt>
                <c:pt idx="2">
                  <c:v>68</c:v>
                </c:pt>
              </c:numCache>
            </c:numRef>
          </c:xVal>
          <c:yVal>
            <c:numRef>
              <c:f>'Reference Curves'!$E$11:$G$11</c:f>
              <c:numCache>
                <c:formatCode>0.00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2-4E71-ACCE-16DFE10BC90E}"/>
            </c:ext>
          </c:extLst>
        </c:ser>
        <c:ser>
          <c:idx val="2"/>
          <c:order val="2"/>
          <c:tx>
            <c:v>Not Functioning</c:v>
          </c:tx>
          <c:spPr>
            <a:ln w="19050">
              <a:noFill/>
            </a:ln>
          </c:spPr>
          <c:trendline>
            <c:spPr>
              <a:ln w="12700">
                <a:solidFill>
                  <a:srgbClr val="00B050"/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>
                <c:manualLayout>
                  <c:x val="-8.1378152848066543E-2"/>
                  <c:y val="-8.091302419220369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Curves'!$C$10:$E$10</c:f>
              <c:numCache>
                <c:formatCode>General</c:formatCode>
                <c:ptCount val="3"/>
                <c:pt idx="0" formatCode="0.00">
                  <c:v>98</c:v>
                </c:pt>
                <c:pt idx="2">
                  <c:v>75</c:v>
                </c:pt>
              </c:numCache>
            </c:numRef>
          </c:xVal>
          <c:yVal>
            <c:numRef>
              <c:f>'Reference Curves'!$C$11:$E$11</c:f>
              <c:numCache>
                <c:formatCode>0.00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2-4E71-ACCE-16DFE10B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17136"/>
        <c:axId val="443220664"/>
      </c:scatterChart>
      <c:valAx>
        <c:axId val="4432171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</a:t>
                </a:r>
                <a:r>
                  <a:rPr lang="en-US" sz="1100" baseline="0"/>
                  <a:t>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20664"/>
        <c:crosses val="autoZero"/>
        <c:crossBetween val="midCat"/>
      </c:valAx>
      <c:valAx>
        <c:axId val="4432206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Value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171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Concentrated</a:t>
            </a:r>
            <a:r>
              <a:rPr lang="en-US" baseline="0"/>
              <a:t> Flow Points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 &amp; At Risk</c:v>
          </c:tx>
          <c:spPr>
            <a:ln w="25400">
              <a:noFill/>
            </a:ln>
          </c:spPr>
          <c:trendline>
            <c:spPr>
              <a:ln w="12700">
                <a:solidFill>
                  <a:schemeClr val="accent1">
                    <a:lumMod val="75000"/>
                  </a:schemeClr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>
                <c:manualLayout>
                  <c:x val="-6.0290020122895263E-2"/>
                  <c:y val="-0.271739466101134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Curves'!$E$45:$H$45</c:f>
              <c:numCache>
                <c:formatCode>General</c:formatCode>
                <c:ptCount val="4"/>
                <c:pt idx="0">
                  <c:v>0.6</c:v>
                </c:pt>
                <c:pt idx="3" formatCode="0">
                  <c:v>0</c:v>
                </c:pt>
              </c:numCache>
            </c:numRef>
          </c:xVal>
          <c:yVal>
            <c:numRef>
              <c:f>'Reference Curves'!$E$46:$H$46</c:f>
              <c:numCache>
                <c:formatCode>0.00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1E-4433-A80A-E35C368F98F6}"/>
            </c:ext>
          </c:extLst>
        </c:ser>
        <c:ser>
          <c:idx val="1"/>
          <c:order val="1"/>
          <c:tx>
            <c:v>Not Functioning</c:v>
          </c:tx>
          <c:spPr>
            <a:ln w="19050">
              <a:noFill/>
            </a:ln>
          </c:spPr>
          <c:trendline>
            <c:spPr>
              <a:ln w="12700">
                <a:solidFill>
                  <a:schemeClr val="accent2">
                    <a:lumMod val="75000"/>
                  </a:schemeClr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18731757818709185"/>
                  <c:y val="-8.536827785487936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Curves'!$C$45:$E$45</c:f>
              <c:numCache>
                <c:formatCode>General</c:formatCode>
                <c:ptCount val="3"/>
                <c:pt idx="0">
                  <c:v>1</c:v>
                </c:pt>
                <c:pt idx="2">
                  <c:v>0.6</c:v>
                </c:pt>
              </c:numCache>
            </c:numRef>
          </c:xVal>
          <c:yVal>
            <c:numRef>
              <c:f>'Reference Curves'!$C$46:$E$46</c:f>
              <c:numCache>
                <c:formatCode>0.00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1E-4433-A80A-E35C368F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17136"/>
        <c:axId val="443220664"/>
      </c:scatterChart>
      <c:valAx>
        <c:axId val="4432171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(# Points per 1,000 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20664"/>
        <c:crosses val="autoZero"/>
        <c:crossBetween val="midCat"/>
      </c:valAx>
      <c:valAx>
        <c:axId val="4432206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Value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171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Buffer Width - Unconfined Alluvial Valleys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54505420421658257"/>
                  <c:y val="8.56487244578250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7008648786189334"/>
                  <c:y val="0.19562388121003038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Curves'!$U$212:$Y$212</c:f>
              <c:numCache>
                <c:formatCode>General</c:formatCode>
                <c:ptCount val="5"/>
                <c:pt idx="0">
                  <c:v>0</c:v>
                </c:pt>
                <c:pt idx="4">
                  <c:v>35</c:v>
                </c:pt>
              </c:numCache>
            </c:numRef>
          </c:xVal>
          <c:yVal>
            <c:numRef>
              <c:f>'Reference Curves'!$U$213:$Y$213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5C-40CF-ADD0-CC333319DFF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5453496330473953E-2"/>
                  <c:y val="0.16457949490203785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Curves'!$X$212:$Z$212</c:f>
              <c:numCache>
                <c:formatCode>General</c:formatCode>
                <c:ptCount val="3"/>
                <c:pt idx="1">
                  <c:v>35</c:v>
                </c:pt>
                <c:pt idx="2">
                  <c:v>100</c:v>
                </c:pt>
              </c:numCache>
            </c:numRef>
          </c:xVal>
          <c:yVal>
            <c:numRef>
              <c:f>'Reference Curves'!$X$213:$Z$213</c:f>
              <c:numCache>
                <c:formatCode>General</c:formatCode>
                <c:ptCount val="3"/>
                <c:pt idx="0">
                  <c:v>0.69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25C-40CF-ADD0-CC333319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11608"/>
        <c:axId val="388306120"/>
        <c:extLst/>
      </c:scatterChart>
      <c:valAx>
        <c:axId val="388311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6120"/>
        <c:crosses val="autoZero"/>
        <c:crossBetween val="midCat"/>
      </c:valAx>
      <c:valAx>
        <c:axId val="3883061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11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# Pieces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'Reference Curves'!$U$47</c:f>
              <c:strCache>
                <c:ptCount val="1"/>
                <c:pt idx="0">
                  <c:v>NF &amp; FAR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2.896008093900259E-2"/>
                  <c:y val="0.27217003846308929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Curves'!$U$44:$Y$44</c:f>
              <c:numCache>
                <c:formatCode>General</c:formatCode>
                <c:ptCount val="5"/>
                <c:pt idx="0">
                  <c:v>0</c:v>
                </c:pt>
                <c:pt idx="4">
                  <c:v>16</c:v>
                </c:pt>
              </c:numCache>
            </c:numRef>
          </c:xVal>
          <c:yVal>
            <c:numRef>
              <c:f>'Reference Curves'!$U$45:$Y$45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B-44C2-B8FB-394BA7951BA7}"/>
            </c:ext>
          </c:extLst>
        </c:ser>
        <c:ser>
          <c:idx val="1"/>
          <c:order val="1"/>
          <c:tx>
            <c:strRef>
              <c:f>'Reference Curves'!$V$47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1591536057919189E-3"/>
                  <c:y val="0.17337287320991837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Curves'!$X$44:$Z$44</c:f>
              <c:numCache>
                <c:formatCode>General</c:formatCode>
                <c:ptCount val="3"/>
                <c:pt idx="1">
                  <c:v>16</c:v>
                </c:pt>
                <c:pt idx="2">
                  <c:v>28</c:v>
                </c:pt>
              </c:numCache>
            </c:numRef>
          </c:xVal>
          <c:yVal>
            <c:numRef>
              <c:f>'Reference Curves'!$X$45:$Z$45</c:f>
              <c:numCache>
                <c:formatCode>0.00</c:formatCode>
                <c:ptCount val="3"/>
                <c:pt idx="0">
                  <c:v>0.69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BB-44C2-B8FB-394BA7951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04160"/>
        <c:axId val="388312392"/>
      </c:scatterChart>
      <c:valAx>
        <c:axId val="38830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(#/100m)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12392"/>
        <c:crosses val="autoZero"/>
        <c:crossBetween val="midCat"/>
      </c:valAx>
      <c:valAx>
        <c:axId val="388312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Riparian</a:t>
            </a:r>
            <a:r>
              <a:rPr lang="en-US" baseline="0"/>
              <a:t> Vegetation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2154362696391308"/>
                  <c:y val="8.6927407287625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'Performance Stds'!#REF!</c:f>
            </c:numRef>
          </c:xVal>
          <c:yVal>
            <c:numRef>
              <c:f>'Performance Stds'!#REF!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9-4AF9-AA79-ABAF7333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562440"/>
        <c:axId val="442560480"/>
      </c:scatterChart>
      <c:valAx>
        <c:axId val="442562440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560480"/>
        <c:crosses val="autoZero"/>
        <c:crossBetween val="midCat"/>
      </c:valAx>
      <c:valAx>
        <c:axId val="442560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562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Percent Streambank Armoring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8084387367101"/>
          <c:y val="0.11383995627777838"/>
          <c:w val="0.78710276152185865"/>
          <c:h val="0.73757538467374906"/>
        </c:manualLayout>
      </c:layout>
      <c:scatterChart>
        <c:scatterStyle val="lineMarker"/>
        <c:varyColors val="0"/>
        <c:ser>
          <c:idx val="1"/>
          <c:order val="0"/>
          <c:tx>
            <c:v>Not-and-at-risk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9"/>
            <c:dispRSqr val="0"/>
            <c:dispEq val="1"/>
            <c:trendlineLbl>
              <c:layout>
                <c:manualLayout>
                  <c:x val="-9.067771678996811E-2"/>
                  <c:y val="-0.378659966769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Curves'!$U$145:$Y$145</c:f>
              <c:numCache>
                <c:formatCode>General</c:formatCode>
                <c:ptCount val="5"/>
                <c:pt idx="0">
                  <c:v>30</c:v>
                </c:pt>
                <c:pt idx="4">
                  <c:v>1</c:v>
                </c:pt>
              </c:numCache>
            </c:numRef>
          </c:xVal>
          <c:yVal>
            <c:numRef>
              <c:f>'Reference Curves'!$U$146:$Y$146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9-460C-ACFD-1B2E728E7410}"/>
            </c:ext>
          </c:extLst>
        </c:ser>
        <c:ser>
          <c:idx val="0"/>
          <c:order val="1"/>
          <c:tx>
            <c:v>Functioning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595467363494404"/>
                  <c:y val="-0.108361447275452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Curves'!$Y$145:$Z$145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xVal>
          <c:yVal>
            <c:numRef>
              <c:f>'Reference Curves'!$Y$146:$Z$146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9-460C-ACFD-1B2E728E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86568"/>
        <c:axId val="443820440"/>
      </c:scatterChart>
      <c:valAx>
        <c:axId val="4438865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20440"/>
        <c:crosses val="autoZero"/>
        <c:crossBetween val="midCat"/>
      </c:valAx>
      <c:valAx>
        <c:axId val="4438204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8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</a:t>
            </a:r>
            <a:r>
              <a:rPr lang="en-US" baseline="0"/>
              <a:t> for E Streams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3099610363769624"/>
                  <c:y val="0.115354532887457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Curves'!$L$77:$P$77</c:f>
              <c:numCache>
                <c:formatCode>General</c:formatCode>
                <c:ptCount val="5"/>
                <c:pt idx="0">
                  <c:v>1</c:v>
                </c:pt>
                <c:pt idx="4">
                  <c:v>2.2000000000000002</c:v>
                </c:pt>
              </c:numCache>
            </c:numRef>
          </c:xVal>
          <c:yVal>
            <c:numRef>
              <c:f>'Reference Curves'!$L$78:$P$78</c:f>
              <c:numCache>
                <c:formatCode>0.00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C-441C-B66B-803A6149F5F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6576083769090969E-2"/>
                  <c:y val="7.85955611608125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Curves'!$P$77:$Q$77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10</c:v>
                </c:pt>
              </c:numCache>
            </c:numRef>
          </c:xVal>
          <c:yVal>
            <c:numRef>
              <c:f>'Reference Curves'!$P$78:$Q$78</c:f>
              <c:numCache>
                <c:formatCode>0.00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C-441C-B66B-803A6149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6976"/>
        <c:axId val="363177368"/>
      </c:scatterChart>
      <c:valAx>
        <c:axId val="36317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7368"/>
        <c:crosses val="autoZero"/>
        <c:crossBetween val="midCat"/>
      </c:valAx>
      <c:valAx>
        <c:axId val="363177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Width/Depth Ratio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3162014061453504E-3"/>
                  <c:y val="-0.457374273720967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Curves'!$L$145:$Q$145</c:f>
              <c:numCache>
                <c:formatCode>General</c:formatCode>
                <c:ptCount val="6"/>
                <c:pt idx="0">
                  <c:v>1.8</c:v>
                </c:pt>
                <c:pt idx="5">
                  <c:v>1</c:v>
                </c:pt>
              </c:numCache>
            </c:numRef>
          </c:xVal>
          <c:yVal>
            <c:numRef>
              <c:f>'Reference Curves'!$L$147:$Q$147</c:f>
              <c:numCache>
                <c:formatCode>0.00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4-4E22-B1C4-56BC90808AC0}"/>
            </c:ext>
          </c:extLst>
        </c:ser>
        <c:ser>
          <c:idx val="0"/>
          <c:order val="1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997208224805176"/>
                  <c:y val="6.05298422892358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Curves'!$L$146:$Q$146</c:f>
              <c:numCache>
                <c:formatCode>General</c:formatCode>
                <c:ptCount val="6"/>
                <c:pt idx="0">
                  <c:v>0.2</c:v>
                </c:pt>
                <c:pt idx="5">
                  <c:v>1</c:v>
                </c:pt>
              </c:numCache>
            </c:numRef>
          </c:xVal>
          <c:yVal>
            <c:numRef>
              <c:f>'Reference Curves'!$L$147:$Q$147</c:f>
              <c:numCache>
                <c:formatCode>0.00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B4-4E22-B1C4-56BC908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6192"/>
        <c:axId val="363178936"/>
      </c:scatterChart>
      <c:valAx>
        <c:axId val="36317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(Ratio)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8936"/>
        <c:crosses val="autoZero"/>
        <c:crossBetween val="midCat"/>
      </c:valAx>
      <c:valAx>
        <c:axId val="3631789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Canopy Gap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4.7565135290547983E-2"/>
                  <c:y val="0.4170659123492034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132104226694243"/>
                  <c:y val="-0.41828837919481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Curves'!$U$314:$Z$314</c:f>
              <c:numCache>
                <c:formatCode>General</c:formatCode>
                <c:ptCount val="6"/>
                <c:pt idx="0">
                  <c:v>50</c:v>
                </c:pt>
                <c:pt idx="3">
                  <c:v>25</c:v>
                </c:pt>
                <c:pt idx="5">
                  <c:v>0</c:v>
                </c:pt>
              </c:numCache>
            </c:numRef>
          </c:xVal>
          <c:yVal>
            <c:numRef>
              <c:f>'Reference Curves'!$U$316:$Z$316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E3-4EA6-B4C4-A53F5B7C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71208"/>
        <c:axId val="385166896"/>
      </c:scatterChart>
      <c:valAx>
        <c:axId val="38517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Field Value ( #/Acre)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6896"/>
        <c:crosses val="autoZero"/>
        <c:crossBetween val="midCat"/>
      </c:valAx>
      <c:valAx>
        <c:axId val="385166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1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Native Herbaceous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4.4322458968086037E-2"/>
                  <c:y val="0.23057705363204345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Curves'!$U$349:$Z$349</c:f>
              <c:numCache>
                <c:formatCode>General</c:formatCode>
                <c:ptCount val="6"/>
                <c:pt idx="0">
                  <c:v>0</c:v>
                </c:pt>
                <c:pt idx="5">
                  <c:v>75</c:v>
                </c:pt>
              </c:numCache>
            </c:numRef>
          </c:xVal>
          <c:yVal>
            <c:numRef>
              <c:f>'Reference Curves'!$U$350:$Z$350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C-4FFD-8C52-929524C5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71208"/>
        <c:axId val="385166896"/>
      </c:scatterChart>
      <c:valAx>
        <c:axId val="38517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6896"/>
        <c:crosses val="autoZero"/>
        <c:crossBetween val="midCat"/>
      </c:valAx>
      <c:valAx>
        <c:axId val="385166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1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NC Biotic Index - Full Scale - Mountains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4186340628795466"/>
                  <c:y val="-0.20827277964977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Curves'!$AO$80:$AR$80</c:f>
              <c:numCache>
                <c:formatCode>General</c:formatCode>
                <c:ptCount val="4"/>
                <c:pt idx="0">
                  <c:v>5.79</c:v>
                </c:pt>
                <c:pt idx="2">
                  <c:v>4.83</c:v>
                </c:pt>
                <c:pt idx="3">
                  <c:v>3.99</c:v>
                </c:pt>
              </c:numCache>
            </c:numRef>
          </c:xVal>
          <c:yVal>
            <c:numRef>
              <c:f>'Reference Curves'!$AO$81:$AR$81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0-468F-8FE4-68569354F01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7790367040782229E-2"/>
                  <c:y val="-0.166966245699331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Curves'!$AM$80:$AO$80</c:f>
              <c:numCache>
                <c:formatCode>General</c:formatCode>
                <c:ptCount val="3"/>
                <c:pt idx="0">
                  <c:v>7.06</c:v>
                </c:pt>
                <c:pt idx="2">
                  <c:v>5.79</c:v>
                </c:pt>
              </c:numCache>
            </c:numRef>
          </c:xVal>
          <c:yVal>
            <c:numRef>
              <c:f>'Reference Curves'!$AM$81:$AO$81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0-468F-8FE4-68569354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0672"/>
        <c:axId val="385785184"/>
      </c:scatterChart>
      <c:valAx>
        <c:axId val="38579067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</a:t>
                </a:r>
                <a:r>
                  <a:rPr lang="en-US" sz="1100" baseline="0"/>
                  <a:t> (Unitless)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3117743424690685"/>
              <c:y val="0.93330823865043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5184"/>
        <c:crosses val="autoZero"/>
        <c:crossBetween val="midCat"/>
      </c:valAx>
      <c:valAx>
        <c:axId val="385785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9.079376268297714E-3"/>
              <c:y val="0.41243548850432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NC Biotic Index - Full Scale - Piedmont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393770345339087"/>
                  <c:y val="-0.198726979512711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Curves'!$AO$114:$AR$114</c:f>
              <c:numCache>
                <c:formatCode>General</c:formatCode>
                <c:ptCount val="4"/>
                <c:pt idx="0">
                  <c:v>6.53</c:v>
                </c:pt>
                <c:pt idx="2">
                  <c:v>5.73</c:v>
                </c:pt>
                <c:pt idx="3">
                  <c:v>5.13</c:v>
                </c:pt>
              </c:numCache>
            </c:numRef>
          </c:xVal>
          <c:yVal>
            <c:numRef>
              <c:f>'Reference Curves'!$AO$115:$AR$115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F-4F62-9EA3-7E8F499676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4219036020459339"/>
                  <c:y val="-0.10744486781516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Curves'!$AM$114:$AO$114</c:f>
              <c:numCache>
                <c:formatCode>General</c:formatCode>
                <c:ptCount val="3"/>
                <c:pt idx="0">
                  <c:v>7.54</c:v>
                </c:pt>
                <c:pt idx="2">
                  <c:v>6.53</c:v>
                </c:pt>
              </c:numCache>
            </c:numRef>
          </c:xVal>
          <c:yVal>
            <c:numRef>
              <c:f>'Reference Curves'!$AM$115:$AO$115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F-4F62-9EA3-7E8F4996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0672"/>
        <c:axId val="385785184"/>
      </c:scatterChart>
      <c:valAx>
        <c:axId val="38579067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</a:t>
                </a:r>
                <a:r>
                  <a:rPr lang="en-US" sz="1100" baseline="0"/>
                  <a:t> (Unitless)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5184"/>
        <c:crosses val="autoZero"/>
        <c:crossBetween val="midCat"/>
      </c:valAx>
      <c:valAx>
        <c:axId val="385785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5888908469520999E-2"/>
              <c:y val="0.40518171430813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NC Biotic Index - Full Scale - Coastal Plain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393770345339087"/>
                  <c:y val="-0.198726979512711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Curves'!$AO$148:$AR$148</c:f>
              <c:numCache>
                <c:formatCode>General</c:formatCode>
                <c:ptCount val="4"/>
                <c:pt idx="0">
                  <c:v>6.77</c:v>
                </c:pt>
                <c:pt idx="2">
                  <c:v>6</c:v>
                </c:pt>
                <c:pt idx="3">
                  <c:v>5.41</c:v>
                </c:pt>
              </c:numCache>
            </c:numRef>
          </c:xVal>
          <c:yVal>
            <c:numRef>
              <c:f>'Reference Curves'!$AO$149:$AR$149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72-438A-A0B3-453233A50C1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944314112103131"/>
                  <c:y val="-0.145518057013120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Curves'!$AM$148:$AO$148</c:f>
              <c:numCache>
                <c:formatCode>General</c:formatCode>
                <c:ptCount val="3"/>
                <c:pt idx="0">
                  <c:v>7.8</c:v>
                </c:pt>
                <c:pt idx="2">
                  <c:v>6.77</c:v>
                </c:pt>
              </c:numCache>
            </c:numRef>
          </c:xVal>
          <c:yVal>
            <c:numRef>
              <c:f>'Reference Curves'!$AM$149:$AO$149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72-438A-A0B3-453233A5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0672"/>
        <c:axId val="385785184"/>
      </c:scatterChart>
      <c:valAx>
        <c:axId val="38579067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layout>
            <c:manualLayout>
              <c:xMode val="edge"/>
              <c:yMode val="edge"/>
              <c:x val="0.4327833042423922"/>
              <c:y val="0.93451065984458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85184"/>
        <c:crosses val="autoZero"/>
        <c:crossBetween val="midCat"/>
      </c:valAx>
      <c:valAx>
        <c:axId val="385785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1349220335372142E-2"/>
              <c:y val="0.40130711214377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Qual 4/EPT - Mountains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27042158518445E-2"/>
          <c:y val="0.11320430236451215"/>
          <c:w val="0.88015417784535277"/>
          <c:h val="0.7700159984717878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838316118558803"/>
                  <c:y val="1.4025208389112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Curves'!$AM$182:$AO$182</c:f>
              <c:numCache>
                <c:formatCode>0.0000</c:formatCode>
                <c:ptCount val="3"/>
                <c:pt idx="0" formatCode="General">
                  <c:v>0</c:v>
                </c:pt>
                <c:pt idx="2" formatCode="General">
                  <c:v>19</c:v>
                </c:pt>
              </c:numCache>
            </c:numRef>
          </c:xVal>
          <c:yVal>
            <c:numRef>
              <c:f>'Reference Curves'!$AM$183:$AO$183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9-4072-A029-C9BF5249817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7.4149384720229153E-2"/>
                  <c:y val="0.370712635642806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Curves'!$AO$182:$AR$182</c:f>
              <c:numCache>
                <c:formatCode>General</c:formatCode>
                <c:ptCount val="4"/>
                <c:pt idx="0">
                  <c:v>19</c:v>
                </c:pt>
                <c:pt idx="2">
                  <c:v>28</c:v>
                </c:pt>
                <c:pt idx="3">
                  <c:v>36</c:v>
                </c:pt>
              </c:numCache>
            </c:numRef>
          </c:xVal>
          <c:yVal>
            <c:numRef>
              <c:f>'Reference Curves'!$AO$183:$AR$183</c:f>
              <c:numCache>
                <c:formatCode>General</c:formatCode>
                <c:ptCount val="4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19-4072-A029-C9BF5249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5784"/>
        <c:axId val="387528528"/>
      </c:scatterChart>
      <c:valAx>
        <c:axId val="3875257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528"/>
        <c:crosses val="autoZero"/>
        <c:crossBetween val="midCat"/>
      </c:valAx>
      <c:valAx>
        <c:axId val="387528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Qual 4/EPT  -</a:t>
            </a:r>
            <a:r>
              <a:rPr lang="en-US" baseline="0"/>
              <a:t> Piedmont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2064042857523"/>
          <c:y val="0.1123329190154274"/>
          <c:w val="0.86755207282375979"/>
          <c:h val="0.7912065329024061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3589135829011137"/>
                  <c:y val="2.54779044874132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Curves'!$AM$216:$AO$216</c:f>
              <c:numCache>
                <c:formatCode>0.0000</c:formatCode>
                <c:ptCount val="3"/>
                <c:pt idx="0" formatCode="General">
                  <c:v>0</c:v>
                </c:pt>
                <c:pt idx="2" formatCode="General">
                  <c:v>14</c:v>
                </c:pt>
              </c:numCache>
            </c:numRef>
          </c:xVal>
          <c:yVal>
            <c:numRef>
              <c:f>'Reference Curves'!$AM$217:$AO$217</c:f>
              <c:numCache>
                <c:formatCode>General</c:formatCode>
                <c:ptCount val="3"/>
                <c:pt idx="0" formatCode="0.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F-4CC2-A84C-2B39BCBDF36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4201047810252445E-2"/>
                  <c:y val="8.25801079401497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Curves'!$AO$216:$AQ$216</c:f>
              <c:numCache>
                <c:formatCode>General</c:formatCode>
                <c:ptCount val="3"/>
                <c:pt idx="0">
                  <c:v>14</c:v>
                </c:pt>
                <c:pt idx="2">
                  <c:v>21</c:v>
                </c:pt>
              </c:numCache>
            </c:numRef>
          </c:xVal>
          <c:yVal>
            <c:numRef>
              <c:f>'Reference Curves'!$AO$217:$AQ$217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 formatCode="0.00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FF-4CC2-A84C-2B39BCBDF36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571042110619352"/>
                  <c:y val="6.83293256712728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Curves'!$AQ$216:$AR$216</c:f>
              <c:numCache>
                <c:formatCode>General</c:formatCode>
                <c:ptCount val="2"/>
                <c:pt idx="0">
                  <c:v>21</c:v>
                </c:pt>
                <c:pt idx="1">
                  <c:v>28</c:v>
                </c:pt>
              </c:numCache>
            </c:numRef>
          </c:xVal>
          <c:yVal>
            <c:numRef>
              <c:f>'Reference Curves'!$AQ$217:$AR$217</c:f>
              <c:numCache>
                <c:formatCode>0.0</c:formatCode>
                <c:ptCount val="2"/>
                <c:pt idx="0" formatCode="0.0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FF-4CC2-A84C-2B39BCBD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5784"/>
        <c:axId val="387528528"/>
      </c:scatterChart>
      <c:valAx>
        <c:axId val="3875257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(Unitless)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528"/>
        <c:crosses val="autoZero"/>
        <c:crossBetween val="midCat"/>
      </c:valAx>
      <c:valAx>
        <c:axId val="387528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4236060595449237E-2"/>
              <c:y val="0.37633512137276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EPT Taxa Present - Qual 4/EPT - Coastal Plains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40314403843222"/>
                  <c:y val="4.34522036398711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Curves'!$AM$252:$AO$252</c:f>
              <c:numCache>
                <c:formatCode>0.0000</c:formatCode>
                <c:ptCount val="3"/>
                <c:pt idx="0" formatCode="General">
                  <c:v>0</c:v>
                </c:pt>
                <c:pt idx="2" formatCode="General">
                  <c:v>12</c:v>
                </c:pt>
              </c:numCache>
            </c:numRef>
          </c:xVal>
          <c:yVal>
            <c:numRef>
              <c:f>'Reference Curves'!$AM$253:$AO$253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31-4185-B558-F7E5CD9E44D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301053583163974E-2"/>
                  <c:y val="8.34979806638175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Curves'!$AO$252:$AQ$252</c:f>
              <c:numCache>
                <c:formatCode>General</c:formatCode>
                <c:ptCount val="3"/>
                <c:pt idx="0">
                  <c:v>12</c:v>
                </c:pt>
                <c:pt idx="2">
                  <c:v>18</c:v>
                </c:pt>
              </c:numCache>
            </c:numRef>
          </c:xVal>
          <c:yVal>
            <c:numRef>
              <c:f>'Reference Curves'!$AO$253:$AQ$253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31-4185-B558-F7E5CD9E44D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201112688484222"/>
                  <c:y val="2.22291627404610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Curves'!$AQ$252:$AR$252</c:f>
              <c:numCache>
                <c:formatCode>General</c:formatCode>
                <c:ptCount val="2"/>
                <c:pt idx="0">
                  <c:v>18</c:v>
                </c:pt>
                <c:pt idx="1">
                  <c:v>34</c:v>
                </c:pt>
              </c:numCache>
            </c:numRef>
          </c:xVal>
          <c:yVal>
            <c:numRef>
              <c:f>'Reference Curves'!$AQ$253:$AR$253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1-4185-B558-F7E5CD9E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5784"/>
        <c:axId val="387528528"/>
      </c:scatterChart>
      <c:valAx>
        <c:axId val="3875257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</a:t>
                </a:r>
                <a:r>
                  <a:rPr lang="en-US" sz="1100" baseline="0"/>
                  <a:t> (Unitless)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2338604674771507"/>
              <c:y val="0.92856737571406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8528"/>
        <c:crosses val="autoZero"/>
        <c:crossBetween val="midCat"/>
      </c:valAx>
      <c:valAx>
        <c:axId val="387528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Pool Depth Ratio for A</a:t>
            </a:r>
            <a:r>
              <a:rPr lang="en-US" baseline="0"/>
              <a:t> </a:t>
            </a:r>
            <a:r>
              <a:rPr lang="en-US"/>
              <a:t>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92168505273453E-2"/>
          <c:y val="0.10898967428091716"/>
          <c:w val="0.85454118492941922"/>
          <c:h val="0.7803134713050585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496160600892946E-2"/>
                  <c:y val="5.40800513141985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Curves'!$U$484:$W$484</c:f>
              <c:numCache>
                <c:formatCode>0.0</c:formatCode>
                <c:ptCount val="3"/>
                <c:pt idx="0">
                  <c:v>1</c:v>
                </c:pt>
                <c:pt idx="2">
                  <c:v>1.1000000000000001</c:v>
                </c:pt>
              </c:numCache>
            </c:numRef>
          </c:xVal>
          <c:yVal>
            <c:numRef>
              <c:f>'Reference Curves'!$U$485:$W$485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2-4E53-8D4A-47CB13D9E3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451704493093119"/>
                  <c:y val="0.132050365157581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Curves'!$W$484:$Y$484</c:f>
              <c:numCache>
                <c:formatCode>0.0</c:formatCode>
                <c:ptCount val="3"/>
                <c:pt idx="0">
                  <c:v>1.1000000000000001</c:v>
                </c:pt>
                <c:pt idx="2">
                  <c:v>1.4</c:v>
                </c:pt>
              </c:numCache>
            </c:numRef>
          </c:xVal>
          <c:yVal>
            <c:numRef>
              <c:f>'Reference Curves'!$W$485:$Y$485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2-4E53-8D4A-47CB13D9E31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0849442367762569E-2"/>
                  <c:y val="7.88368716970366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Curves'!$Y$484:$Z$484</c:f>
              <c:numCache>
                <c:formatCode>0.0</c:formatCode>
                <c:ptCount val="2"/>
                <c:pt idx="0">
                  <c:v>1.4</c:v>
                </c:pt>
                <c:pt idx="1">
                  <c:v>1.7</c:v>
                </c:pt>
              </c:numCache>
            </c:numRef>
          </c:xVal>
          <c:yVal>
            <c:numRef>
              <c:f>'Reference Curves'!$Y$485:$Z$485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2-4E53-8D4A-47CB13D9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09112"/>
        <c:axId val="384809896"/>
      </c:scatterChart>
      <c:valAx>
        <c:axId val="384809112"/>
        <c:scaling>
          <c:orientation val="minMax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</a:t>
                </a:r>
                <a:r>
                  <a:rPr lang="en-US" sz="1100" b="0" i="0" u="none" strike="noStrike" baseline="0">
                    <a:effectLst/>
                  </a:rPr>
                  <a:t>Ratio)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9896"/>
        <c:crosses val="autoZero"/>
        <c:crossBetween val="midCat"/>
      </c:valAx>
      <c:valAx>
        <c:axId val="384809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0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Riffle for A Streams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1708478915652069E-2"/>
                  <c:y val="9.9873162371758514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Curves'!$U$617:$Z$617</c:f>
              <c:numCache>
                <c:formatCode>General</c:formatCode>
                <c:ptCount val="6"/>
                <c:pt idx="0" formatCode="0">
                  <c:v>0</c:v>
                </c:pt>
                <c:pt idx="5">
                  <c:v>54</c:v>
                </c:pt>
              </c:numCache>
            </c:numRef>
          </c:xVal>
          <c:yVal>
            <c:numRef>
              <c:f>'Reference Curves'!$U$619:$Z$619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E-4AC2-831E-2AE82F6080E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2.8311500997831546E-2"/>
                  <c:y val="-3.5539841744354539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Curves'!$U$618:$Z$618</c:f>
              <c:numCache>
                <c:formatCode>General</c:formatCode>
                <c:ptCount val="6"/>
                <c:pt idx="0" formatCode="0">
                  <c:v>100</c:v>
                </c:pt>
                <c:pt idx="5">
                  <c:v>62</c:v>
                </c:pt>
              </c:numCache>
            </c:numRef>
          </c:xVal>
          <c:yVal>
            <c:numRef>
              <c:f>'Reference Curves'!$U$619:$Z$619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0E-4AC2-831E-2AE82F6080E0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'Reference Curves'!$Z$617:$Z$618</c:f>
              <c:numCache>
                <c:formatCode>General</c:formatCode>
                <c:ptCount val="2"/>
                <c:pt idx="0">
                  <c:v>54</c:v>
                </c:pt>
                <c:pt idx="1">
                  <c:v>62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00E-4AC2-831E-2AE82F60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9328"/>
        <c:axId val="363180112"/>
      </c:scatterChart>
      <c:valAx>
        <c:axId val="36317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 Value (%)</a:t>
                </a:r>
              </a:p>
            </c:rich>
          </c:tx>
          <c:layout>
            <c:manualLayout>
              <c:xMode val="edge"/>
              <c:yMode val="edge"/>
              <c:x val="0.41896342508207335"/>
              <c:y val="0.9319070230148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80112"/>
        <c:crosses val="autoZero"/>
        <c:crossBetween val="midCat"/>
      </c:valAx>
      <c:valAx>
        <c:axId val="363180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Fines for Hellbender Streams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Not Functioning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1373064470852857E-2"/>
                  <c:y val="-0.12151992370604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Curves'!$U$754:$W$754</c:f>
              <c:numCache>
                <c:formatCode>General</c:formatCode>
                <c:ptCount val="3"/>
                <c:pt idx="0" formatCode="0">
                  <c:v>35</c:v>
                </c:pt>
                <c:pt idx="2">
                  <c:v>25</c:v>
                </c:pt>
              </c:numCache>
            </c:numRef>
          </c:xVal>
          <c:yVal>
            <c:numRef>
              <c:f>'Reference Curves'!$U$755:$W$755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6E-4133-B8ED-6C14D17D27AE}"/>
            </c:ext>
          </c:extLst>
        </c:ser>
        <c:ser>
          <c:idx val="1"/>
          <c:order val="1"/>
          <c:tx>
            <c:v>Functioning At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995913135912354"/>
                  <c:y val="-0.191061954839091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Curves'!$W$754:$Y$754</c:f>
              <c:numCache>
                <c:formatCode>General</c:formatCode>
                <c:ptCount val="3"/>
                <c:pt idx="0">
                  <c:v>25</c:v>
                </c:pt>
                <c:pt idx="2">
                  <c:v>20</c:v>
                </c:pt>
              </c:numCache>
            </c:numRef>
          </c:xVal>
          <c:yVal>
            <c:numRef>
              <c:f>'Reference Curves'!$W$755:$Y$755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6E-4133-B8ED-6C14D17D27AE}"/>
            </c:ext>
          </c:extLst>
        </c:ser>
        <c:ser>
          <c:idx val="2"/>
          <c:order val="2"/>
          <c:tx>
            <c:v>Functioning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3575546858401916"/>
                  <c:y val="-0.10392735662205831"/>
                </c:manualLayout>
              </c:layout>
              <c:numFmt formatCode="General" sourceLinked="0"/>
              <c:spPr>
                <a:noFill/>
                <a:ln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Curves'!$Y$754:$Z$754</c:f>
              <c:numCache>
                <c:formatCode>General</c:formatCode>
                <c:ptCount val="2"/>
                <c:pt idx="0">
                  <c:v>20</c:v>
                </c:pt>
                <c:pt idx="1">
                  <c:v>12</c:v>
                </c:pt>
              </c:numCache>
            </c:numRef>
          </c:xVal>
          <c:yVal>
            <c:numRef>
              <c:f>'Reference Curves'!$Y$755:$Z$755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6E-4133-B8ED-6C14D17D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140528"/>
        <c:axId val="856134624"/>
      </c:scatterChart>
      <c:valAx>
        <c:axId val="85614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134624"/>
        <c:crosses val="autoZero"/>
        <c:crossBetween val="midCat"/>
      </c:valAx>
      <c:valAx>
        <c:axId val="85613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14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Substrate</a:t>
            </a:r>
            <a:r>
              <a:rPr lang="en-US" baseline="0"/>
              <a:t> Embeddedness for Hellbender Streams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 and At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7835370135243453"/>
                  <c:y val="-0.196430872278095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Curves'!$V$784:$Z$784</c:f>
              <c:numCache>
                <c:formatCode>General</c:formatCode>
                <c:ptCount val="5"/>
                <c:pt idx="0">
                  <c:v>25</c:v>
                </c:pt>
                <c:pt idx="3">
                  <c:v>15</c:v>
                </c:pt>
              </c:numCache>
            </c:numRef>
          </c:xVal>
          <c:yVal>
            <c:numRef>
              <c:f>'Reference Curves'!$V$785:$Z$785</c:f>
              <c:numCache>
                <c:formatCode>General</c:formatCode>
                <c:ptCount val="5"/>
                <c:pt idx="0">
                  <c:v>0.28999999999999998</c:v>
                </c:pt>
                <c:pt idx="1">
                  <c:v>0.3</c:v>
                </c:pt>
                <c:pt idx="2">
                  <c:v>0.69</c:v>
                </c:pt>
                <c:pt idx="3">
                  <c:v>0.7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A-453E-A988-3FEE05355DE0}"/>
            </c:ext>
          </c:extLst>
        </c:ser>
        <c:ser>
          <c:idx val="1"/>
          <c:order val="1"/>
          <c:tx>
            <c:v>Not Functioning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3126998061983403E-2"/>
                  <c:y val="-0.168551603453114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Curves'!$U$784:$W$784</c:f>
              <c:numCache>
                <c:formatCode>General</c:formatCode>
                <c:ptCount val="3"/>
                <c:pt idx="0" formatCode="0">
                  <c:v>50</c:v>
                </c:pt>
                <c:pt idx="1">
                  <c:v>25</c:v>
                </c:pt>
              </c:numCache>
            </c:numRef>
          </c:xVal>
          <c:yVal>
            <c:numRef>
              <c:f>'Reference Curves'!$U$785:$W$785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7A-453E-A988-3FEE05355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Hellbender Cover Rock 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3243840801767047E-2"/>
                  <c:y val="1.78194240761738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Curves'!$U$817:$Z$817</c:f>
              <c:numCache>
                <c:formatCode>General</c:formatCode>
                <c:ptCount val="6"/>
                <c:pt idx="0" formatCode="0">
                  <c:v>0</c:v>
                </c:pt>
                <c:pt idx="2">
                  <c:v>12</c:v>
                </c:pt>
                <c:pt idx="5">
                  <c:v>30</c:v>
                </c:pt>
              </c:numCache>
            </c:numRef>
          </c:xVal>
          <c:yVal>
            <c:numRef>
              <c:f>'Reference Curves'!$U$818:$Z$818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B-456B-A8D1-40927E61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Hellbender Nest Rock Density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xVal>
            <c:numRef>
              <c:f>'Reference Curves'!$U$850:$Z$850</c:f>
              <c:numCache>
                <c:formatCode>General</c:formatCode>
                <c:ptCount val="6"/>
                <c:pt idx="0" formatCode="0">
                  <c:v>0</c:v>
                </c:pt>
                <c:pt idx="4">
                  <c:v>10</c:v>
                </c:pt>
                <c:pt idx="5">
                  <c:v>14</c:v>
                </c:pt>
              </c:numCache>
            </c:numRef>
          </c:xVal>
          <c:yVal>
            <c:numRef>
              <c:f>'Reference Curves'!$U$851:$Z$851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5-4EB2-A753-09EA8E6CEA6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3243840801767047E-2"/>
                  <c:y val="1.78194240761738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Curves'!$U$850:$Z$850</c:f>
              <c:numCache>
                <c:formatCode>General</c:formatCode>
                <c:ptCount val="6"/>
                <c:pt idx="0" formatCode="0">
                  <c:v>0</c:v>
                </c:pt>
                <c:pt idx="4">
                  <c:v>10</c:v>
                </c:pt>
                <c:pt idx="5">
                  <c:v>14</c:v>
                </c:pt>
              </c:numCache>
            </c:numRef>
          </c:xVal>
          <c:yVal>
            <c:numRef>
              <c:f>'Reference Curves'!$U$851:$Z$851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65-4EB2-A753-09EA8E6C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</c:v>
          </c:tx>
          <c:spPr>
            <a:ln w="19050">
              <a:noFill/>
            </a:ln>
          </c:spPr>
          <c:trendline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6407154169184313"/>
                  <c:y val="3.807097155838931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Curves'!$Y$883:$Z$883</c:f>
              <c:numCache>
                <c:formatCode>General</c:formatCode>
                <c:ptCount val="2"/>
                <c:pt idx="0">
                  <c:v>60</c:v>
                </c:pt>
                <c:pt idx="1">
                  <c:v>125</c:v>
                </c:pt>
              </c:numCache>
            </c:numRef>
          </c:xVal>
          <c:yVal>
            <c:numRef>
              <c:f>'Reference Curves'!$Y$884:$Z$884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1C-41A4-B812-C14EC83DEC1F}"/>
            </c:ext>
          </c:extLst>
        </c:ser>
        <c:ser>
          <c:idx val="1"/>
          <c:order val="1"/>
          <c:tx>
            <c:v>FAR and NF</c:v>
          </c:tx>
          <c:spPr>
            <a:ln w="19050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6.4554101342928105E-2"/>
                  <c:y val="0.1181095559227323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Curves'!$U$883:$Y$883</c:f>
              <c:numCache>
                <c:formatCode>General</c:formatCode>
                <c:ptCount val="5"/>
                <c:pt idx="0" formatCode="0">
                  <c:v>20</c:v>
                </c:pt>
                <c:pt idx="4">
                  <c:v>60</c:v>
                </c:pt>
              </c:numCache>
            </c:numRef>
          </c:xVal>
          <c:yVal>
            <c:numRef>
              <c:f>'Reference Curves'!$U$884:$Y$884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1C-41A4-B812-C14EC83D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D84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</c:v>
          </c:tx>
          <c:spPr>
            <a:ln w="19050">
              <a:noFill/>
            </a:ln>
          </c:spPr>
          <c:trendline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27355201496831549"/>
                  <c:y val="5.0755968378400448E-2"/>
                </c:manualLayout>
              </c:layout>
              <c:numFmt formatCode="#,##0.00000000" sourceLinked="0"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Curves'!$Y$916:$Z$916</c:f>
              <c:numCache>
                <c:formatCode>General</c:formatCode>
                <c:ptCount val="2"/>
                <c:pt idx="0">
                  <c:v>250</c:v>
                </c:pt>
                <c:pt idx="1">
                  <c:v>800</c:v>
                </c:pt>
              </c:numCache>
            </c:numRef>
          </c:xVal>
          <c:yVal>
            <c:numRef>
              <c:f>'Reference Curves'!$Y$917:$Z$917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B-41B4-A31A-03DA9D173948}"/>
            </c:ext>
          </c:extLst>
        </c:ser>
        <c:ser>
          <c:idx val="1"/>
          <c:order val="1"/>
          <c:tx>
            <c:v>FAN and NF</c:v>
          </c:tx>
          <c:spPr>
            <a:ln w="19050">
              <a:noFill/>
            </a:ln>
          </c:spP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9099956572872232E-2"/>
                  <c:y val="0.100057157397088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Curves'!$U$916:$X$916</c:f>
              <c:numCache>
                <c:formatCode>General</c:formatCode>
                <c:ptCount val="4"/>
                <c:pt idx="0" formatCode="0">
                  <c:v>100</c:v>
                </c:pt>
                <c:pt idx="3">
                  <c:v>249</c:v>
                </c:pt>
              </c:numCache>
            </c:numRef>
          </c:xVal>
          <c:yVal>
            <c:numRef>
              <c:f>'Reference Curves'!$U$917:$X$917</c:f>
              <c:numCache>
                <c:formatCode>General</c:formatCode>
                <c:ptCount val="4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7B-41B4-A31A-03DA9D17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D84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Functioning</c:v>
          </c:tx>
          <c:spPr>
            <a:ln w="19050">
              <a:noFill/>
            </a:ln>
          </c:spPr>
          <c:trendline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8.8835843296486292E-2"/>
                  <c:y val="0.15223594293848949"/>
                </c:manualLayout>
              </c:layout>
              <c:numFmt formatCode="#,##0.00000000" sourceLinked="0"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Curves'!$Y$951:$Z$951</c:f>
              <c:numCache>
                <c:formatCode>General</c:formatCode>
                <c:ptCount val="2"/>
                <c:pt idx="0">
                  <c:v>55</c:v>
                </c:pt>
                <c:pt idx="1">
                  <c:v>120</c:v>
                </c:pt>
              </c:numCache>
            </c:numRef>
          </c:xVal>
          <c:yVal>
            <c:numRef>
              <c:f>'Reference Curves'!$Y$952:$Z$952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5-4161-A602-F471EF13F4EC}"/>
            </c:ext>
          </c:extLst>
        </c:ser>
        <c:ser>
          <c:idx val="1"/>
          <c:order val="1"/>
          <c:tx>
            <c:v>FAN and NF</c:v>
          </c:tx>
          <c:spPr>
            <a:ln w="19050">
              <a:noFill/>
            </a:ln>
          </c:spP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49264511538437"/>
                  <c:y val="0.109570905012096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Curves'!$U$951:$Y$951</c:f>
              <c:numCache>
                <c:formatCode>General</c:formatCode>
                <c:ptCount val="5"/>
                <c:pt idx="0" formatCode="0">
                  <c:v>0</c:v>
                </c:pt>
                <c:pt idx="4">
                  <c:v>55</c:v>
                </c:pt>
              </c:numCache>
            </c:numRef>
          </c:xVal>
          <c:yVal>
            <c:numRef>
              <c:f>'Reference Curves'!$U$952:$Y$952</c:f>
              <c:numCache>
                <c:formatCode>General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0.69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E5-4161-A602-F471EF13F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22392"/>
        <c:axId val="900321736"/>
      </c:scatterChart>
      <c:valAx>
        <c:axId val="90032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1736"/>
        <c:crosses val="autoZero"/>
        <c:crossBetween val="midCat"/>
      </c:valAx>
      <c:valAx>
        <c:axId val="90032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2239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Tree </a:t>
            </a:r>
            <a:r>
              <a:rPr lang="en-US" baseline="0"/>
              <a:t>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7522587074874407"/>
                  <c:y val="0.16694910933393958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'[1]Reference Curves'!$U$278:$Z$278</c:f>
              <c:numCache>
                <c:formatCode>General</c:formatCode>
                <c:ptCount val="6"/>
                <c:pt idx="0">
                  <c:v>0</c:v>
                </c:pt>
                <c:pt idx="5">
                  <c:v>250</c:v>
                </c:pt>
              </c:numCache>
            </c:numRef>
          </c:xVal>
          <c:yVal>
            <c:numRef>
              <c:f>'[1]Reference Curves'!$U$280:$Z$280</c:f>
              <c:numCache>
                <c:formatCode>General</c:formatCode>
                <c:ptCount val="6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3-4577-A720-25BDC2E91AB4}"/>
            </c:ext>
          </c:extLst>
        </c:ser>
        <c:ser>
          <c:idx val="1"/>
          <c:order val="1"/>
          <c:tx>
            <c:v>Crest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'[1]Reference Curves'!$Z$278:$Z$279</c:f>
              <c:numCache>
                <c:formatCode>General</c:formatCode>
                <c:ptCount val="2"/>
                <c:pt idx="0">
                  <c:v>250</c:v>
                </c:pt>
                <c:pt idx="1">
                  <c:v>330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6E3-4577-A720-25BDC2E91AB4}"/>
            </c:ext>
          </c:extLst>
        </c:ser>
        <c:ser>
          <c:idx val="2"/>
          <c:order val="2"/>
          <c:tx>
            <c:v>Falling Limb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7800770778960313E-2"/>
                  <c:y val="-4.12373956041751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'[1]Reference Curves'!$X$279:$Z$279</c:f>
              <c:numCache>
                <c:formatCode>General</c:formatCode>
                <c:ptCount val="3"/>
                <c:pt idx="0">
                  <c:v>366</c:v>
                </c:pt>
                <c:pt idx="2">
                  <c:v>330</c:v>
                </c:pt>
              </c:numCache>
            </c:numRef>
          </c:xVal>
          <c:yVal>
            <c:numRef>
              <c:f>'[1]Reference Curves'!$X$280:$Z$280</c:f>
              <c:numCache>
                <c:formatCode>General</c:formatCode>
                <c:ptCount val="3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3-4577-A720-25BDC2E91AB4}"/>
            </c:ext>
          </c:extLst>
        </c:ser>
        <c:ser>
          <c:idx val="3"/>
          <c:order val="3"/>
          <c:tx>
            <c:v>0.5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366</c:v>
              </c:pt>
              <c:pt idx="1">
                <c:v>400</c:v>
              </c:pt>
            </c:numLit>
          </c:xVal>
          <c:yVal>
            <c:numLit>
              <c:formatCode>General</c:formatCode>
              <c:ptCount val="2"/>
              <c:pt idx="0">
                <c:v>0.5</c:v>
              </c:pt>
              <c:pt idx="1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6E3-4577-A720-25BDC2E91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71208"/>
        <c:axId val="385166896"/>
      </c:scatterChart>
      <c:valAx>
        <c:axId val="385171208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Field Value ( #/Acre)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66896"/>
        <c:crosses val="autoZero"/>
        <c:crossBetween val="midCat"/>
      </c:valAx>
      <c:valAx>
        <c:axId val="385166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71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Intolerant</a:t>
            </a:r>
            <a:r>
              <a:rPr lang="en-US" baseline="0"/>
              <a:t> Macros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0.2711864406779661"/>
                  <c:y val="-9.9985497468362411E-2"/>
                </c:manualLayout>
              </c:layout>
              <c:numFmt formatCode="#,##0.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Curves'!$AQ$490:$AR$490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xVal>
          <c:yVal>
            <c:numRef>
              <c:f>'Reference Curves'!$AQ$491:$AR$491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7-45D4-B880-3F54D8F30458}"/>
            </c:ext>
          </c:extLst>
        </c:ser>
        <c:ser>
          <c:idx val="1"/>
          <c:order val="1"/>
          <c:tx>
            <c:v>FAR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3479887895369011"/>
                  <c:y val="-9.62405460712447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Curves'!$AO$490:$AQ$490</c:f>
              <c:numCache>
                <c:formatCode>General</c:formatCode>
                <c:ptCount val="3"/>
                <c:pt idx="0">
                  <c:v>75</c:v>
                </c:pt>
                <c:pt idx="2">
                  <c:v>25</c:v>
                </c:pt>
              </c:numCache>
            </c:numRef>
          </c:xVal>
          <c:yVal>
            <c:numRef>
              <c:f>'Reference Curves'!$AO$491:$AQ$491</c:f>
              <c:numCache>
                <c:formatCode>General</c:formatCode>
                <c:ptCount val="3"/>
                <c:pt idx="0">
                  <c:v>0.3</c:v>
                </c:pt>
                <c:pt idx="1">
                  <c:v>0.69</c:v>
                </c:pt>
                <c:pt idx="2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7-45D4-B880-3F54D8F30458}"/>
            </c:ext>
          </c:extLst>
        </c:ser>
        <c:ser>
          <c:idx val="2"/>
          <c:order val="2"/>
          <c:tx>
            <c:v>NF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3253970372347519E-2"/>
                  <c:y val="-6.48803977670951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'Reference Curves'!$AM$490:$AO$490</c:f>
              <c:numCache>
                <c:formatCode>General</c:formatCode>
                <c:ptCount val="3"/>
                <c:pt idx="0">
                  <c:v>100</c:v>
                </c:pt>
                <c:pt idx="2">
                  <c:v>75</c:v>
                </c:pt>
              </c:numCache>
            </c:numRef>
          </c:xVal>
          <c:yVal>
            <c:numRef>
              <c:f>'Reference Curves'!$AM$491:$AO$491</c:f>
              <c:numCache>
                <c:formatCode>General</c:formatCode>
                <c:ptCount val="3"/>
                <c:pt idx="0">
                  <c:v>0</c:v>
                </c:pt>
                <c:pt idx="1">
                  <c:v>0.28999999999999998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B7-45D4-B880-3F54D8F3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3432"/>
        <c:axId val="387526176"/>
      </c:scatterChart>
      <c:valAx>
        <c:axId val="3875234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Field</a:t>
                </a:r>
                <a:r>
                  <a:rPr lang="en-US" sz="1100" baseline="0"/>
                  <a:t> Value (Unitless)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6176"/>
        <c:crosses val="autoZero"/>
        <c:crossBetween val="midCat"/>
      </c:valAx>
      <c:valAx>
        <c:axId val="387526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Index Value</a:t>
                </a:r>
              </a:p>
            </c:rich>
          </c:tx>
          <c:layout>
            <c:manualLayout>
              <c:xMode val="edge"/>
              <c:yMode val="edge"/>
              <c:x val="1.3391098996247505E-2"/>
              <c:y val="0.40500194440356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23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84454</xdr:colOff>
      <xdr:row>30</xdr:row>
      <xdr:rowOff>123824</xdr:rowOff>
    </xdr:from>
    <xdr:to>
      <xdr:col>8</xdr:col>
      <xdr:colOff>0</xdr:colOff>
      <xdr:row>32</xdr:row>
      <xdr:rowOff>88899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C17089-1EE1-4BED-B905-E70C9DECF8A7}"/>
            </a:ext>
          </a:extLst>
        </xdr:cNvPr>
        <xdr:cNvSpPr txBox="1"/>
      </xdr:nvSpPr>
      <xdr:spPr>
        <a:xfrm>
          <a:off x="86359" y="5412104"/>
          <a:ext cx="8200391" cy="328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/>
            <a:t>NOTICE: </a:t>
          </a:r>
          <a:r>
            <a:rPr lang="en-US" sz="1100" baseline="0"/>
            <a:t>If you find errors or problems, please contact Morgan Harris at 828-558-3249 or morgan.harris@usda.gov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16329</xdr:colOff>
      <xdr:row>16</xdr:row>
      <xdr:rowOff>58512</xdr:rowOff>
    </xdr:from>
    <xdr:to>
      <xdr:col>16</xdr:col>
      <xdr:colOff>771525</xdr:colOff>
      <xdr:row>40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A26C6-0575-4DCA-BAE7-198057CE3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46944</xdr:colOff>
      <xdr:row>50</xdr:row>
      <xdr:rowOff>55108</xdr:rowOff>
    </xdr:from>
    <xdr:to>
      <xdr:col>16</xdr:col>
      <xdr:colOff>790575</xdr:colOff>
      <xdr:row>74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2B4A4D-AB33-4AD3-924F-21F94EF11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63954</xdr:colOff>
      <xdr:row>118</xdr:row>
      <xdr:rowOff>99331</xdr:rowOff>
    </xdr:from>
    <xdr:to>
      <xdr:col>16</xdr:col>
      <xdr:colOff>742950</xdr:colOff>
      <xdr:row>141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4C5DF1-5E21-4474-913B-6C6D05D81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39460</xdr:colOff>
      <xdr:row>16</xdr:row>
      <xdr:rowOff>44903</xdr:rowOff>
    </xdr:from>
    <xdr:to>
      <xdr:col>25</xdr:col>
      <xdr:colOff>771525</xdr:colOff>
      <xdr:row>40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96181F-D2BD-46A8-90AD-07E5FEC0E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134028</xdr:colOff>
      <xdr:row>390</xdr:row>
      <xdr:rowOff>48306</xdr:rowOff>
    </xdr:from>
    <xdr:to>
      <xdr:col>25</xdr:col>
      <xdr:colOff>790575</xdr:colOff>
      <xdr:row>413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A61AD9-532F-4A69-B2A7-364F555A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122464</xdr:colOff>
      <xdr:row>422</xdr:row>
      <xdr:rowOff>59190</xdr:rowOff>
    </xdr:from>
    <xdr:to>
      <xdr:col>25</xdr:col>
      <xdr:colOff>809625</xdr:colOff>
      <xdr:row>444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D2BF97C-6A1E-40E6-9303-C80E54EE2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30480</xdr:colOff>
      <xdr:row>456</xdr:row>
      <xdr:rowOff>46671</xdr:rowOff>
    </xdr:from>
    <xdr:to>
      <xdr:col>25</xdr:col>
      <xdr:colOff>800100</xdr:colOff>
      <xdr:row>480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84A475F-C7DA-4B59-8CB9-75C32B74A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65770</xdr:colOff>
      <xdr:row>523</xdr:row>
      <xdr:rowOff>78469</xdr:rowOff>
    </xdr:from>
    <xdr:to>
      <xdr:col>25</xdr:col>
      <xdr:colOff>733425</xdr:colOff>
      <xdr:row>546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DBB46C-6E95-4157-979C-578801015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19051</xdr:colOff>
      <xdr:row>557</xdr:row>
      <xdr:rowOff>152399</xdr:rowOff>
    </xdr:from>
    <xdr:to>
      <xdr:col>25</xdr:col>
      <xdr:colOff>704850</xdr:colOff>
      <xdr:row>581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1111645-39E4-4F70-A1AD-8B139131C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67356</xdr:colOff>
      <xdr:row>591</xdr:row>
      <xdr:rowOff>78240</xdr:rowOff>
    </xdr:from>
    <xdr:to>
      <xdr:col>25</xdr:col>
      <xdr:colOff>691243</xdr:colOff>
      <xdr:row>613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D907F8-4181-4885-8284-F826AE1B2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40822</xdr:colOff>
      <xdr:row>659</xdr:row>
      <xdr:rowOff>82322</xdr:rowOff>
    </xdr:from>
    <xdr:to>
      <xdr:col>25</xdr:col>
      <xdr:colOff>704850</xdr:colOff>
      <xdr:row>682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2D68612-BC7F-41CC-A4F0-B2E2B5CE9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61231</xdr:colOff>
      <xdr:row>716</xdr:row>
      <xdr:rowOff>0</xdr:rowOff>
    </xdr:from>
    <xdr:to>
      <xdr:col>27</xdr:col>
      <xdr:colOff>88446</xdr:colOff>
      <xdr:row>716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7FEC38A-3CBE-44DE-843B-723FCFEBD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156234</xdr:colOff>
      <xdr:row>693</xdr:row>
      <xdr:rowOff>74839</xdr:rowOff>
    </xdr:from>
    <xdr:to>
      <xdr:col>25</xdr:col>
      <xdr:colOff>776720</xdr:colOff>
      <xdr:row>716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C90D9CF-0FF9-4C50-AD96-2891BFB66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61232</xdr:colOff>
      <xdr:row>749</xdr:row>
      <xdr:rowOff>0</xdr:rowOff>
    </xdr:from>
    <xdr:to>
      <xdr:col>27</xdr:col>
      <xdr:colOff>88446</xdr:colOff>
      <xdr:row>749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9C9517A-D109-4386-A111-64F37EE6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108177</xdr:colOff>
      <xdr:row>489</xdr:row>
      <xdr:rowOff>34698</xdr:rowOff>
    </xdr:from>
    <xdr:to>
      <xdr:col>34</xdr:col>
      <xdr:colOff>723900</xdr:colOff>
      <xdr:row>514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C247059-FC3C-4FCA-8560-F0B103A0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63954</xdr:colOff>
      <xdr:row>524</xdr:row>
      <xdr:rowOff>98651</xdr:rowOff>
    </xdr:from>
    <xdr:to>
      <xdr:col>34</xdr:col>
      <xdr:colOff>714376</xdr:colOff>
      <xdr:row>548</xdr:row>
      <xdr:rowOff>85725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836043D-0248-4F66-8FFC-E9736B35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66675</xdr:colOff>
      <xdr:row>17</xdr:row>
      <xdr:rowOff>142875</xdr:rowOff>
    </xdr:from>
    <xdr:to>
      <xdr:col>43</xdr:col>
      <xdr:colOff>714375</xdr:colOff>
      <xdr:row>39</xdr:row>
      <xdr:rowOff>171450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E6FD4B1-C518-482E-A02C-8AAF82E8C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109255</xdr:colOff>
      <xdr:row>51</xdr:row>
      <xdr:rowOff>135031</xdr:rowOff>
    </xdr:from>
    <xdr:to>
      <xdr:col>43</xdr:col>
      <xdr:colOff>661706</xdr:colOff>
      <xdr:row>74</xdr:row>
      <xdr:rowOff>49306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D2D6DAE-BC45-4F84-A332-076E1CC5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85045</xdr:colOff>
      <xdr:row>87</xdr:row>
      <xdr:rowOff>129948</xdr:rowOff>
    </xdr:from>
    <xdr:to>
      <xdr:col>35</xdr:col>
      <xdr:colOff>66675</xdr:colOff>
      <xdr:row>110</xdr:row>
      <xdr:rowOff>95249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EA0439F-507F-4160-A977-D150075E0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38101</xdr:colOff>
      <xdr:row>393</xdr:row>
      <xdr:rowOff>118382</xdr:rowOff>
    </xdr:from>
    <xdr:to>
      <xdr:col>43</xdr:col>
      <xdr:colOff>742951</xdr:colOff>
      <xdr:row>418</xdr:row>
      <xdr:rowOff>85725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CD084F79-6F63-4E34-BEA3-6A43E6BBB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130630</xdr:colOff>
      <xdr:row>428</xdr:row>
      <xdr:rowOff>104776</xdr:rowOff>
    </xdr:from>
    <xdr:to>
      <xdr:col>43</xdr:col>
      <xdr:colOff>723900</xdr:colOff>
      <xdr:row>452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8434181-6582-4D7F-9432-870B2834C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76199</xdr:colOff>
      <xdr:row>462</xdr:row>
      <xdr:rowOff>123825</xdr:rowOff>
    </xdr:from>
    <xdr:to>
      <xdr:col>43</xdr:col>
      <xdr:colOff>638174</xdr:colOff>
      <xdr:row>486</xdr:row>
      <xdr:rowOff>142875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E845F0F-4A17-478C-B705-BC7C7CB53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70756</xdr:colOff>
      <xdr:row>86</xdr:row>
      <xdr:rowOff>57829</xdr:rowOff>
    </xdr:from>
    <xdr:to>
      <xdr:col>25</xdr:col>
      <xdr:colOff>721178</xdr:colOff>
      <xdr:row>109</xdr:row>
      <xdr:rowOff>13607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73C7638-A559-4C72-A4DF-9C28D378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66675</xdr:colOff>
      <xdr:row>17</xdr:row>
      <xdr:rowOff>60960</xdr:rowOff>
    </xdr:from>
    <xdr:to>
      <xdr:col>34</xdr:col>
      <xdr:colOff>742950</xdr:colOff>
      <xdr:row>41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5556108-49F6-4842-896F-F4E2BCAB0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19</xdr:col>
      <xdr:colOff>142874</xdr:colOff>
      <xdr:row>450</xdr:row>
      <xdr:rowOff>0</xdr:rowOff>
    </xdr:from>
    <xdr:to>
      <xdr:col>27</xdr:col>
      <xdr:colOff>170088</xdr:colOff>
      <xdr:row>450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69F5246-8004-4F24-A7D9-B8C02854D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70757</xdr:colOff>
      <xdr:row>727</xdr:row>
      <xdr:rowOff>80962</xdr:rowOff>
    </xdr:from>
    <xdr:to>
      <xdr:col>25</xdr:col>
      <xdr:colOff>733425</xdr:colOff>
      <xdr:row>749</xdr:row>
      <xdr:rowOff>180975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9323976-AEC4-4346-80C3-9E154BAE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20063</xdr:colOff>
      <xdr:row>86</xdr:row>
      <xdr:rowOff>38062</xdr:rowOff>
    </xdr:from>
    <xdr:to>
      <xdr:col>7</xdr:col>
      <xdr:colOff>762000</xdr:colOff>
      <xdr:row>109</xdr:row>
      <xdr:rowOff>131950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B93319A-8114-4835-AAA6-E6614375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24494</xdr:colOff>
      <xdr:row>456</xdr:row>
      <xdr:rowOff>64635</xdr:rowOff>
    </xdr:from>
    <xdr:to>
      <xdr:col>34</xdr:col>
      <xdr:colOff>676275</xdr:colOff>
      <xdr:row>480</xdr:row>
      <xdr:rowOff>95250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D9BAF5C6-E5D4-4C22-B1B4-BA8C86B6A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</xdr:col>
      <xdr:colOff>24494</xdr:colOff>
      <xdr:row>423</xdr:row>
      <xdr:rowOff>64635</xdr:rowOff>
    </xdr:from>
    <xdr:to>
      <xdr:col>34</xdr:col>
      <xdr:colOff>723900</xdr:colOff>
      <xdr:row>445</xdr:row>
      <xdr:rowOff>171450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CF6E225-7D88-41E4-8495-DBA2CC9ED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</xdr:col>
      <xdr:colOff>336778</xdr:colOff>
      <xdr:row>122</xdr:row>
      <xdr:rowOff>109538</xdr:rowOff>
    </xdr:from>
    <xdr:to>
      <xdr:col>35</xdr:col>
      <xdr:colOff>234043</xdr:colOff>
      <xdr:row>144</xdr:row>
      <xdr:rowOff>107497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97CBF20-F610-4CCD-B1DF-324968B52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27</xdr:col>
      <xdr:colOff>276906</xdr:colOff>
      <xdr:row>156</xdr:row>
      <xdr:rowOff>90489</xdr:rowOff>
    </xdr:from>
    <xdr:to>
      <xdr:col>35</xdr:col>
      <xdr:colOff>193221</xdr:colOff>
      <xdr:row>178</xdr:row>
      <xdr:rowOff>155122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348B0B32-1008-4288-AE35-B72AFF330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28</xdr:col>
      <xdr:colOff>79403</xdr:colOff>
      <xdr:row>50</xdr:row>
      <xdr:rowOff>57469</xdr:rowOff>
    </xdr:from>
    <xdr:to>
      <xdr:col>34</xdr:col>
      <xdr:colOff>770004</xdr:colOff>
      <xdr:row>76</xdr:row>
      <xdr:rowOff>96050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9432EEB-C503-4EF1-AD3F-DD52BE83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19</xdr:col>
      <xdr:colOff>29935</xdr:colOff>
      <xdr:row>118</xdr:row>
      <xdr:rowOff>75879</xdr:rowOff>
    </xdr:from>
    <xdr:to>
      <xdr:col>25</xdr:col>
      <xdr:colOff>771524</xdr:colOff>
      <xdr:row>141</xdr:row>
      <xdr:rowOff>112619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871BE1D-95A6-42AC-9CD9-2CE3C8B19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38781</xdr:colOff>
      <xdr:row>184</xdr:row>
      <xdr:rowOff>49666</xdr:rowOff>
    </xdr:from>
    <xdr:to>
      <xdr:col>25</xdr:col>
      <xdr:colOff>752475</xdr:colOff>
      <xdr:row>207</xdr:row>
      <xdr:rowOff>66675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1D44A79-58B2-4634-8853-84160F930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19</xdr:col>
      <xdr:colOff>11266</xdr:colOff>
      <xdr:row>252</xdr:row>
      <xdr:rowOff>151204</xdr:rowOff>
    </xdr:from>
    <xdr:to>
      <xdr:col>25</xdr:col>
      <xdr:colOff>763060</xdr:colOff>
      <xdr:row>275</xdr:row>
      <xdr:rowOff>168774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6024C81-A23A-4BE1-80F4-7A91E0E35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37</xdr:col>
      <xdr:colOff>104776</xdr:colOff>
      <xdr:row>293</xdr:row>
      <xdr:rowOff>57150</xdr:rowOff>
    </xdr:from>
    <xdr:to>
      <xdr:col>43</xdr:col>
      <xdr:colOff>657226</xdr:colOff>
      <xdr:row>315</xdr:row>
      <xdr:rowOff>38100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D5AAA51-3697-4847-8E87-951E20A37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90488</xdr:colOff>
      <xdr:row>326</xdr:row>
      <xdr:rowOff>42864</xdr:rowOff>
    </xdr:from>
    <xdr:to>
      <xdr:col>43</xdr:col>
      <xdr:colOff>714375</xdr:colOff>
      <xdr:row>350</xdr:row>
      <xdr:rowOff>28576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0E25A53-5B09-4668-B757-0B3C43592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85725</xdr:colOff>
      <xdr:row>361</xdr:row>
      <xdr:rowOff>51707</xdr:rowOff>
    </xdr:from>
    <xdr:to>
      <xdr:col>43</xdr:col>
      <xdr:colOff>733425</xdr:colOff>
      <xdr:row>383</xdr:row>
      <xdr:rowOff>171450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6ECA75C6-4F08-4626-A11E-A24696520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27</xdr:col>
      <xdr:colOff>276906</xdr:colOff>
      <xdr:row>190</xdr:row>
      <xdr:rowOff>90488</xdr:rowOff>
    </xdr:from>
    <xdr:to>
      <xdr:col>35</xdr:col>
      <xdr:colOff>193221</xdr:colOff>
      <xdr:row>212</xdr:row>
      <xdr:rowOff>136071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33DF5B0-D617-4981-BA18-1B538411A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</xdr:col>
      <xdr:colOff>314325</xdr:colOff>
      <xdr:row>224</xdr:row>
      <xdr:rowOff>5443</xdr:rowOff>
    </xdr:from>
    <xdr:to>
      <xdr:col>35</xdr:col>
      <xdr:colOff>211590</xdr:colOff>
      <xdr:row>247</xdr:row>
      <xdr:rowOff>70077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80035AE-2C04-4149-B516-55C473242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28</xdr:col>
      <xdr:colOff>86406</xdr:colOff>
      <xdr:row>260</xdr:row>
      <xdr:rowOff>49667</xdr:rowOff>
    </xdr:from>
    <xdr:to>
      <xdr:col>35</xdr:col>
      <xdr:colOff>190500</xdr:colOff>
      <xdr:row>281</xdr:row>
      <xdr:rowOff>171451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73768F88-A6DF-4724-BA90-D45596913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28</xdr:col>
      <xdr:colOff>29256</xdr:colOff>
      <xdr:row>294</xdr:row>
      <xdr:rowOff>49666</xdr:rowOff>
    </xdr:from>
    <xdr:to>
      <xdr:col>35</xdr:col>
      <xdr:colOff>200025</xdr:colOff>
      <xdr:row>314</xdr:row>
      <xdr:rowOff>123825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5DF2C90C-5CEB-4121-8E2A-F30888173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28</xdr:col>
      <xdr:colOff>29256</xdr:colOff>
      <xdr:row>326</xdr:row>
      <xdr:rowOff>40141</xdr:rowOff>
    </xdr:from>
    <xdr:to>
      <xdr:col>35</xdr:col>
      <xdr:colOff>266700</xdr:colOff>
      <xdr:row>346</xdr:row>
      <xdr:rowOff>57150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FBC0CCF3-F7F5-4FE4-BEFC-07BF625DA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28</xdr:col>
      <xdr:colOff>29256</xdr:colOff>
      <xdr:row>358</xdr:row>
      <xdr:rowOff>2042</xdr:rowOff>
    </xdr:from>
    <xdr:to>
      <xdr:col>35</xdr:col>
      <xdr:colOff>285750</xdr:colOff>
      <xdr:row>380</xdr:row>
      <xdr:rowOff>47626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505ACBC3-7C77-46C0-AF08-AFFF46430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28</xdr:col>
      <xdr:colOff>10206</xdr:colOff>
      <xdr:row>392</xdr:row>
      <xdr:rowOff>30617</xdr:rowOff>
    </xdr:from>
    <xdr:to>
      <xdr:col>35</xdr:col>
      <xdr:colOff>266700</xdr:colOff>
      <xdr:row>413</xdr:row>
      <xdr:rowOff>114301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C6C8899B-ABF7-4FE9-816F-3AF850850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38553</xdr:colOff>
      <xdr:row>17</xdr:row>
      <xdr:rowOff>29938</xdr:rowOff>
    </xdr:from>
    <xdr:to>
      <xdr:col>7</xdr:col>
      <xdr:colOff>781050</xdr:colOff>
      <xdr:row>40</xdr:row>
      <xdr:rowOff>123826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6A79ECDF-31E5-485F-A174-57BCB9B2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36032</xdr:colOff>
      <xdr:row>51</xdr:row>
      <xdr:rowOff>84848</xdr:rowOff>
    </xdr:from>
    <xdr:to>
      <xdr:col>7</xdr:col>
      <xdr:colOff>752475</xdr:colOff>
      <xdr:row>74</xdr:row>
      <xdr:rowOff>172292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83C57E16-954C-4A8A-B7B9-98BC369AD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19</xdr:col>
      <xdr:colOff>75639</xdr:colOff>
      <xdr:row>218</xdr:row>
      <xdr:rowOff>74519</xdr:rowOff>
    </xdr:from>
    <xdr:to>
      <xdr:col>25</xdr:col>
      <xdr:colOff>798857</xdr:colOff>
      <xdr:row>241</xdr:row>
      <xdr:rowOff>96290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08F1037-B57F-4ED1-82E5-D8C6C405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19</xdr:col>
      <xdr:colOff>0</xdr:colOff>
      <xdr:row>51</xdr:row>
      <xdr:rowOff>0</xdr:rowOff>
    </xdr:from>
    <xdr:to>
      <xdr:col>25</xdr:col>
      <xdr:colOff>732065</xdr:colOff>
      <xdr:row>75</xdr:row>
      <xdr:rowOff>12247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BF4ECB0-3C82-4864-B9AB-05002B45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19</xdr:col>
      <xdr:colOff>142874</xdr:colOff>
      <xdr:row>145</xdr:row>
      <xdr:rowOff>0</xdr:rowOff>
    </xdr:from>
    <xdr:to>
      <xdr:col>26</xdr:col>
      <xdr:colOff>170088</xdr:colOff>
      <xdr:row>145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CA2A4E50-260C-4F46-924B-9DEDC2737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19</xdr:col>
      <xdr:colOff>28669</xdr:colOff>
      <xdr:row>150</xdr:row>
      <xdr:rowOff>40472</xdr:rowOff>
    </xdr:from>
    <xdr:to>
      <xdr:col>25</xdr:col>
      <xdr:colOff>771525</xdr:colOff>
      <xdr:row>173</xdr:row>
      <xdr:rowOff>172130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7848849-284D-49D5-965B-C1C5C45A5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</xdr:col>
      <xdr:colOff>46944</xdr:colOff>
      <xdr:row>83</xdr:row>
      <xdr:rowOff>55108</xdr:rowOff>
    </xdr:from>
    <xdr:to>
      <xdr:col>16</xdr:col>
      <xdr:colOff>781050</xdr:colOff>
      <xdr:row>107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E94899B9-C1BC-4E06-A8AC-A0AFBD6D5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40141</xdr:colOff>
      <xdr:row>152</xdr:row>
      <xdr:rowOff>46943</xdr:rowOff>
    </xdr:from>
    <xdr:to>
      <xdr:col>16</xdr:col>
      <xdr:colOff>733425</xdr:colOff>
      <xdr:row>175</xdr:row>
      <xdr:rowOff>57150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965B9BB1-2533-4346-85DE-ABB4978B8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19</xdr:col>
      <xdr:colOff>85725</xdr:colOff>
      <xdr:row>321</xdr:row>
      <xdr:rowOff>31751</xdr:rowOff>
    </xdr:from>
    <xdr:to>
      <xdr:col>25</xdr:col>
      <xdr:colOff>723900</xdr:colOff>
      <xdr:row>347</xdr:row>
      <xdr:rowOff>58208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1147014C-8334-427A-98B7-D10B5F8F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19</xdr:col>
      <xdr:colOff>85725</xdr:colOff>
      <xdr:row>354</xdr:row>
      <xdr:rowOff>57150</xdr:rowOff>
    </xdr:from>
    <xdr:to>
      <xdr:col>25</xdr:col>
      <xdr:colOff>723900</xdr:colOff>
      <xdr:row>380</xdr:row>
      <xdr:rowOff>66675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CE2AF42-BD56-4F30-8D4D-68F771ED1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37</xdr:col>
      <xdr:colOff>154079</xdr:colOff>
      <xdr:row>87</xdr:row>
      <xdr:rowOff>67795</xdr:rowOff>
    </xdr:from>
    <xdr:to>
      <xdr:col>43</xdr:col>
      <xdr:colOff>706530</xdr:colOff>
      <xdr:row>109</xdr:row>
      <xdr:rowOff>161364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DB6750E-0D10-4FF0-902E-2281BC9CE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37</xdr:col>
      <xdr:colOff>142873</xdr:colOff>
      <xdr:row>121</xdr:row>
      <xdr:rowOff>123826</xdr:rowOff>
    </xdr:from>
    <xdr:to>
      <xdr:col>43</xdr:col>
      <xdr:colOff>695324</xdr:colOff>
      <xdr:row>144</xdr:row>
      <xdr:rowOff>67236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0219980-5294-4160-8D63-06F58A2BA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37</xdr:col>
      <xdr:colOff>197301</xdr:colOff>
      <xdr:row>155</xdr:row>
      <xdr:rowOff>1361</xdr:rowOff>
    </xdr:from>
    <xdr:to>
      <xdr:col>43</xdr:col>
      <xdr:colOff>749752</xdr:colOff>
      <xdr:row>176</xdr:row>
      <xdr:rowOff>154440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B0DD43DE-F7C7-4474-8C22-3C1CFF0F0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37</xdr:col>
      <xdr:colOff>104776</xdr:colOff>
      <xdr:row>189</xdr:row>
      <xdr:rowOff>57150</xdr:rowOff>
    </xdr:from>
    <xdr:to>
      <xdr:col>43</xdr:col>
      <xdr:colOff>657226</xdr:colOff>
      <xdr:row>211</xdr:row>
      <xdr:rowOff>38100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D55A44C6-4120-4543-BBD7-FC8FF083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37</xdr:col>
      <xdr:colOff>33339</xdr:colOff>
      <xdr:row>223</xdr:row>
      <xdr:rowOff>76200</xdr:rowOff>
    </xdr:from>
    <xdr:to>
      <xdr:col>43</xdr:col>
      <xdr:colOff>585789</xdr:colOff>
      <xdr:row>245</xdr:row>
      <xdr:rowOff>57150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A4602DE-02C3-4F07-B77C-508D17CB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37</xdr:col>
      <xdr:colOff>104776</xdr:colOff>
      <xdr:row>259</xdr:row>
      <xdr:rowOff>57150</xdr:rowOff>
    </xdr:from>
    <xdr:to>
      <xdr:col>43</xdr:col>
      <xdr:colOff>657226</xdr:colOff>
      <xdr:row>281</xdr:row>
      <xdr:rowOff>38100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DA2ADB32-4766-49D0-9B17-9093EC2B9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19</xdr:col>
      <xdr:colOff>65770</xdr:colOff>
      <xdr:row>490</xdr:row>
      <xdr:rowOff>78469</xdr:rowOff>
    </xdr:from>
    <xdr:to>
      <xdr:col>25</xdr:col>
      <xdr:colOff>733425</xdr:colOff>
      <xdr:row>513</xdr:row>
      <xdr:rowOff>38100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1705907D-9214-4345-812F-F0441DB2E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19</xdr:col>
      <xdr:colOff>40822</xdr:colOff>
      <xdr:row>625</xdr:row>
      <xdr:rowOff>82322</xdr:rowOff>
    </xdr:from>
    <xdr:to>
      <xdr:col>25</xdr:col>
      <xdr:colOff>704850</xdr:colOff>
      <xdr:row>648</xdr:row>
      <xdr:rowOff>104775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226C1644-C5C7-49F6-A07E-0D0B9C360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19</xdr:col>
      <xdr:colOff>8465</xdr:colOff>
      <xdr:row>761</xdr:row>
      <xdr:rowOff>42333</xdr:rowOff>
    </xdr:from>
    <xdr:to>
      <xdr:col>25</xdr:col>
      <xdr:colOff>778932</xdr:colOff>
      <xdr:row>779</xdr:row>
      <xdr:rowOff>101599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A9510D6B-80DC-4419-BB4B-15FCB81B2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19</xdr:col>
      <xdr:colOff>33868</xdr:colOff>
      <xdr:row>790</xdr:row>
      <xdr:rowOff>177801</xdr:rowOff>
    </xdr:from>
    <xdr:to>
      <xdr:col>25</xdr:col>
      <xdr:colOff>762000</xdr:colOff>
      <xdr:row>812</xdr:row>
      <xdr:rowOff>84666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780AB4A6-D8DC-48D0-8BE6-E63A2908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19</xdr:col>
      <xdr:colOff>0</xdr:colOff>
      <xdr:row>823</xdr:row>
      <xdr:rowOff>0</xdr:rowOff>
    </xdr:from>
    <xdr:to>
      <xdr:col>25</xdr:col>
      <xdr:colOff>728132</xdr:colOff>
      <xdr:row>844</xdr:row>
      <xdr:rowOff>93131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B0175D43-B85A-40A8-B1FB-481F44642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19</xdr:col>
      <xdr:colOff>0</xdr:colOff>
      <xdr:row>856</xdr:row>
      <xdr:rowOff>143933</xdr:rowOff>
    </xdr:from>
    <xdr:to>
      <xdr:col>25</xdr:col>
      <xdr:colOff>728132</xdr:colOff>
      <xdr:row>878</xdr:row>
      <xdr:rowOff>50797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8D613E2-FDAB-4634-B422-4D74649FB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19</xdr:col>
      <xdr:colOff>0</xdr:colOff>
      <xdr:row>890</xdr:row>
      <xdr:rowOff>0</xdr:rowOff>
    </xdr:from>
    <xdr:to>
      <xdr:col>25</xdr:col>
      <xdr:colOff>728132</xdr:colOff>
      <xdr:row>911</xdr:row>
      <xdr:rowOff>93131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9BD4DF10-2614-4A56-90A6-81FB817F4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19</xdr:col>
      <xdr:colOff>0</xdr:colOff>
      <xdr:row>923</xdr:row>
      <xdr:rowOff>0</xdr:rowOff>
    </xdr:from>
    <xdr:to>
      <xdr:col>25</xdr:col>
      <xdr:colOff>728132</xdr:colOff>
      <xdr:row>944</xdr:row>
      <xdr:rowOff>93131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69450C1B-98C5-44DC-A754-397159656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19</xdr:col>
      <xdr:colOff>0</xdr:colOff>
      <xdr:row>958</xdr:row>
      <xdr:rowOff>0</xdr:rowOff>
    </xdr:from>
    <xdr:to>
      <xdr:col>25</xdr:col>
      <xdr:colOff>728132</xdr:colOff>
      <xdr:row>979</xdr:row>
      <xdr:rowOff>93131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F01A5053-90DD-42F4-999F-11EC44BC5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19</xdr:col>
      <xdr:colOff>0</xdr:colOff>
      <xdr:row>285</xdr:row>
      <xdr:rowOff>0</xdr:rowOff>
    </xdr:from>
    <xdr:to>
      <xdr:col>25</xdr:col>
      <xdr:colOff>671406</xdr:colOff>
      <xdr:row>310</xdr:row>
      <xdr:rowOff>133773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ED04206E-CE53-4D1B-8A75-B6F0C02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37</xdr:col>
      <xdr:colOff>85725</xdr:colOff>
      <xdr:row>497</xdr:row>
      <xdr:rowOff>51707</xdr:rowOff>
    </xdr:from>
    <xdr:to>
      <xdr:col>43</xdr:col>
      <xdr:colOff>733425</xdr:colOff>
      <xdr:row>519</xdr:row>
      <xdr:rowOff>171450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AAD6A4E-ED3E-4337-A41B-85CE5878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0.4848</cdr:x>
      <cdr:y>0.15234</cdr:y>
    </cdr:from>
    <cdr:to>
      <cdr:x>0.84166</cdr:x>
      <cdr:y>0.29244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31290F1B-5F92-481C-836D-C62E178C3748}"/>
            </a:ext>
          </a:extLst>
        </cdr:cNvPr>
        <cdr:cNvSpPr txBox="1"/>
      </cdr:nvSpPr>
      <cdr:spPr>
        <a:xfrm xmlns:a="http://schemas.openxmlformats.org/drawingml/2006/main">
          <a:off x="2632075" y="688975"/>
          <a:ext cx="1937418" cy="63365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Armoring of greater than 50% will result in lateral migration</a:t>
          </a:r>
          <a:r>
            <a:rPr lang="en-US" sz="1100" baseline="0"/>
            <a:t> parameter score of 0.00.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0.1564</cdr:x>
      <cdr:y>0.29135</cdr:y>
    </cdr:from>
    <cdr:to>
      <cdr:x>0.37199</cdr:x>
      <cdr:y>0.4433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1294D2CF-F097-4E00-B02F-623E3127C1FB}"/>
            </a:ext>
          </a:extLst>
        </cdr:cNvPr>
        <cdr:cNvSpPr txBox="1"/>
      </cdr:nvSpPr>
      <cdr:spPr>
        <a:xfrm xmlns:a="http://schemas.openxmlformats.org/drawingml/2006/main">
          <a:off x="841375" y="1279525"/>
          <a:ext cx="1159779" cy="6673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Blue</a:t>
          </a:r>
          <a:r>
            <a:rPr lang="en-US" sz="1100" baseline="0"/>
            <a:t> portion of curve only used when BHR &gt;1.2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EHCI\SQT\Hellbender%20Edit\HELLBENDER_Quantification%20Tool%20v1.0.xlsx" TargetMode="External"/><Relationship Id="rId1" Type="http://schemas.openxmlformats.org/officeDocument/2006/relationships/externalLinkPath" Target="HELLBENDER_Quantification%20Tool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Summary"/>
      <sheetName val="Parameter Selection Guide"/>
      <sheetName val="Quantification_Tool"/>
      <sheetName val="SQT_As-Built"/>
      <sheetName val="SQT_Year-5"/>
      <sheetName val="Reference Curves"/>
      <sheetName val="Pull Down Notes"/>
    </sheetNames>
    <sheetDataSet>
      <sheetData sheetId="0"/>
      <sheetData sheetId="1"/>
      <sheetData sheetId="2"/>
      <sheetData sheetId="3"/>
      <sheetData sheetId="4"/>
      <sheetData sheetId="5">
        <row r="278">
          <cell r="U278">
            <v>0</v>
          </cell>
          <cell r="V278"/>
          <cell r="W278"/>
          <cell r="X278"/>
          <cell r="Y278"/>
          <cell r="Z278">
            <v>250</v>
          </cell>
        </row>
        <row r="279">
          <cell r="X279">
            <v>366</v>
          </cell>
          <cell r="Z279">
            <v>330</v>
          </cell>
        </row>
        <row r="280">
          <cell r="U280">
            <v>0</v>
          </cell>
          <cell r="V280">
            <v>0.28999999999999998</v>
          </cell>
          <cell r="W280">
            <v>0.3</v>
          </cell>
          <cell r="X280">
            <v>0.5</v>
          </cell>
          <cell r="Y280">
            <v>0.7</v>
          </cell>
          <cell r="Z280">
            <v>1</v>
          </cell>
        </row>
        <row r="283">
          <cell r="U283">
            <v>4.0000000000000001E-3</v>
          </cell>
          <cell r="V283">
            <v>-1.3899999999999999E-2</v>
          </cell>
        </row>
        <row r="284">
          <cell r="U284">
            <v>0</v>
          </cell>
          <cell r="V284">
            <v>5.5833000000000004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ra Donatich" id="{882038AD-A899-4A32-8B28-36953040A377}" userId="S::SDonatich@eprusa.net::9520b199-75a1-41a9-a8a7-10ae7dfb92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0-27T14:33:18.61" personId="{882038AD-A899-4A32-8B28-36953040A377}" id="{00DF965A-410E-4099-A4A7-A24B2FE74E4B}">
    <text>Items highlighted in yellow were updated to a linear curve. Update written equations and index value calculations.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E537-2104-4B63-8FB9-A6103366EC6F}">
  <dimension ref="A1:T36"/>
  <sheetViews>
    <sheetView workbookViewId="0">
      <selection activeCell="C24" sqref="C24:D24"/>
    </sheetView>
  </sheetViews>
  <sheetFormatPr defaultRowHeight="14.5" x14ac:dyDescent="0.35"/>
  <cols>
    <col min="1" max="1" width="23.453125" customWidth="1"/>
    <col min="2" max="2" width="16.1796875" customWidth="1"/>
    <col min="3" max="3" width="6.90625" customWidth="1"/>
    <col min="4" max="5" width="27.90625" customWidth="1"/>
    <col min="6" max="8" width="6.08984375" customWidth="1"/>
    <col min="9" max="9" width="1.08984375" customWidth="1"/>
    <col min="10" max="10" width="9" customWidth="1"/>
  </cols>
  <sheetData>
    <row r="1" spans="1:20" x14ac:dyDescent="0.35">
      <c r="A1" s="1" t="s">
        <v>0</v>
      </c>
      <c r="B1" s="2"/>
      <c r="C1" s="2"/>
      <c r="D1" s="297" t="s">
        <v>1</v>
      </c>
      <c r="E1" s="298"/>
      <c r="F1" s="298"/>
      <c r="G1" s="298"/>
      <c r="H1" s="299"/>
      <c r="I1" s="3"/>
      <c r="J1" s="4" t="s">
        <v>2</v>
      </c>
    </row>
    <row r="2" spans="1:20" x14ac:dyDescent="0.35">
      <c r="A2" s="5" t="s">
        <v>3</v>
      </c>
      <c r="B2" s="6">
        <v>44952</v>
      </c>
      <c r="C2" s="6"/>
      <c r="D2" s="300" t="s">
        <v>4</v>
      </c>
      <c r="E2" s="301"/>
      <c r="F2" s="301"/>
      <c r="G2" s="301"/>
      <c r="H2" s="302"/>
      <c r="I2" s="7"/>
    </row>
    <row r="3" spans="1:20" ht="15.75" customHeight="1" x14ac:dyDescent="0.35">
      <c r="A3" s="5"/>
      <c r="D3" s="303" t="s">
        <v>5</v>
      </c>
      <c r="E3" s="304"/>
      <c r="F3" s="304"/>
      <c r="G3" s="304"/>
      <c r="H3" s="305"/>
      <c r="I3" s="7"/>
    </row>
    <row r="4" spans="1:20" x14ac:dyDescent="0.35">
      <c r="A4" s="5"/>
      <c r="B4" s="4"/>
      <c r="C4" s="4"/>
      <c r="D4" s="306" t="s">
        <v>6</v>
      </c>
      <c r="E4" s="306"/>
      <c r="F4" s="306"/>
      <c r="G4" s="306"/>
      <c r="H4" s="306"/>
      <c r="I4" s="7"/>
    </row>
    <row r="5" spans="1:20" ht="15.5" x14ac:dyDescent="0.35">
      <c r="A5" s="5"/>
      <c r="B5" s="8"/>
      <c r="C5" s="8"/>
      <c r="D5" s="8"/>
      <c r="E5" s="8"/>
      <c r="F5" s="8"/>
      <c r="G5" s="8"/>
      <c r="H5" s="9"/>
      <c r="I5" s="8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" x14ac:dyDescent="0.35">
      <c r="A6" s="307" t="s">
        <v>7</v>
      </c>
      <c r="B6" s="308"/>
      <c r="C6" s="308"/>
      <c r="D6" s="308"/>
      <c r="E6" s="308"/>
      <c r="F6" s="308"/>
      <c r="G6" s="308"/>
      <c r="H6" s="309"/>
      <c r="I6" s="11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294" t="s">
        <v>8</v>
      </c>
      <c r="B7" s="295"/>
      <c r="C7" s="296"/>
      <c r="D7" s="12"/>
      <c r="H7" s="1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4.25" customHeight="1" x14ac:dyDescent="0.35">
      <c r="A8" s="14" t="s">
        <v>9</v>
      </c>
      <c r="B8" s="15"/>
      <c r="C8" s="16"/>
      <c r="D8" s="312"/>
      <c r="E8" s="313"/>
      <c r="F8" s="313"/>
      <c r="G8" s="313"/>
      <c r="H8" s="314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4.25" customHeight="1" x14ac:dyDescent="0.35">
      <c r="A9" s="315"/>
      <c r="B9" s="316"/>
      <c r="C9" s="316"/>
      <c r="D9" s="316"/>
      <c r="E9" s="316"/>
      <c r="F9" s="316"/>
      <c r="G9" s="316"/>
      <c r="H9" s="3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4.25" customHeight="1" x14ac:dyDescent="0.35">
      <c r="A10" s="318"/>
      <c r="B10" s="319"/>
      <c r="C10" s="319"/>
      <c r="D10" s="319"/>
      <c r="E10" s="319"/>
      <c r="F10" s="319"/>
      <c r="G10" s="319"/>
      <c r="H10" s="320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" x14ac:dyDescent="0.35">
      <c r="A11" s="321" t="s">
        <v>10</v>
      </c>
      <c r="B11" s="322"/>
      <c r="C11" s="322"/>
      <c r="D11" s="322"/>
      <c r="E11" s="322"/>
      <c r="F11" s="322"/>
      <c r="G11" s="322"/>
      <c r="H11" s="323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5">
      <c r="A12" s="18" t="s">
        <v>11</v>
      </c>
      <c r="B12" s="312"/>
      <c r="C12" s="313"/>
      <c r="D12" s="313"/>
      <c r="E12" s="313"/>
      <c r="F12" s="313"/>
      <c r="G12" s="313"/>
      <c r="H12" s="314"/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35">
      <c r="A13" s="18" t="s">
        <v>12</v>
      </c>
      <c r="B13" s="312"/>
      <c r="C13" s="313"/>
      <c r="D13" s="313"/>
      <c r="E13" s="313"/>
      <c r="F13" s="313"/>
      <c r="G13" s="313"/>
      <c r="H13" s="314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5">
      <c r="A14" s="18" t="s">
        <v>13</v>
      </c>
      <c r="B14" s="324"/>
      <c r="C14" s="325"/>
      <c r="D14" s="325"/>
      <c r="E14" s="325"/>
      <c r="F14" s="325"/>
      <c r="G14" s="325"/>
      <c r="H14" s="326"/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35">
      <c r="A15" s="18" t="s">
        <v>14</v>
      </c>
      <c r="B15" s="324"/>
      <c r="C15" s="325"/>
      <c r="D15" s="325"/>
      <c r="E15" s="325"/>
      <c r="F15" s="325"/>
      <c r="G15" s="325"/>
      <c r="H15" s="32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35">
      <c r="A16" s="18" t="s">
        <v>15</v>
      </c>
      <c r="B16" s="324"/>
      <c r="C16" s="325"/>
      <c r="D16" s="325"/>
      <c r="E16" s="325"/>
      <c r="F16" s="325"/>
      <c r="G16" s="325"/>
      <c r="H16" s="326"/>
      <c r="I16" s="1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35">
      <c r="A17" s="19" t="s">
        <v>16</v>
      </c>
      <c r="B17" s="312"/>
      <c r="C17" s="313"/>
      <c r="D17" s="313"/>
      <c r="E17" s="313"/>
      <c r="F17" s="313"/>
      <c r="G17" s="313"/>
      <c r="H17" s="314"/>
      <c r="I17" s="1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7" x14ac:dyDescent="0.35">
      <c r="A18" s="327" t="s">
        <v>17</v>
      </c>
      <c r="B18" s="328"/>
      <c r="C18" s="328"/>
      <c r="D18" s="328"/>
      <c r="E18" s="328"/>
      <c r="F18" s="328"/>
      <c r="G18" s="328"/>
      <c r="H18" s="329"/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35">
      <c r="A19" s="20" t="s">
        <v>18</v>
      </c>
      <c r="B19" s="21" t="s">
        <v>19</v>
      </c>
      <c r="C19" s="330" t="s">
        <v>20</v>
      </c>
      <c r="D19" s="331"/>
      <c r="E19" s="22" t="s">
        <v>21</v>
      </c>
      <c r="F19" s="23" t="s">
        <v>22</v>
      </c>
      <c r="G19" s="23" t="s">
        <v>23</v>
      </c>
      <c r="H19" s="24" t="s">
        <v>24</v>
      </c>
      <c r="I19" s="2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idden="1" x14ac:dyDescent="0.35">
      <c r="A20" s="26" t="s">
        <v>25</v>
      </c>
      <c r="B20" s="27" t="s">
        <v>26</v>
      </c>
      <c r="C20" s="310"/>
      <c r="D20" s="311"/>
      <c r="E20" s="28"/>
      <c r="F20" s="29" t="s">
        <v>27</v>
      </c>
      <c r="G20" s="29" t="s">
        <v>28</v>
      </c>
      <c r="H20" s="27" t="s">
        <v>29</v>
      </c>
      <c r="I20" s="1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4.75" customHeight="1" x14ac:dyDescent="0.35">
      <c r="A21" s="30" t="s">
        <v>30</v>
      </c>
      <c r="B21" s="31" cm="1">
        <f t="array" aca="1" ref="B21" ca="1">IFERROR(INDIRECT($A21&amp;"!"&amp;B$20),"")</f>
        <v>0</v>
      </c>
      <c r="C21" s="332"/>
      <c r="D21" s="333"/>
      <c r="E21" s="32"/>
      <c r="F21" s="31" cm="1">
        <f t="array" aca="1" ref="F21" ca="1">IFERROR(INDIRECT($A21&amp;"!"&amp;F$20),"")</f>
        <v>0</v>
      </c>
      <c r="G21" s="31" t="str" cm="1">
        <f t="array" aca="1" ref="G21" ca="1">IFERROR(INDIRECT($A21&amp;"!"&amp;G$20),"")</f>
        <v/>
      </c>
      <c r="H21" s="31" t="str" cm="1">
        <f t="array" aca="1" ref="H21" ca="1">IFERROR(INDIRECT($A21&amp;"!"&amp;H$20),"")</f>
        <v/>
      </c>
      <c r="I21" s="1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35">
      <c r="A22" s="30"/>
      <c r="B22" s="31" t="str" cm="1">
        <f t="array" aca="1" ref="B22" ca="1">IFERROR(INDIRECT($A22&amp;"!"&amp;B$20),"")</f>
        <v/>
      </c>
      <c r="C22" s="332"/>
      <c r="D22" s="333"/>
      <c r="E22" s="32"/>
      <c r="F22" s="31" t="str" cm="1">
        <f t="array" aca="1" ref="F22" ca="1">IFERROR(INDIRECT($A22&amp;"!"&amp;F$20),"")</f>
        <v/>
      </c>
      <c r="G22" s="31" t="str" cm="1">
        <f t="array" aca="1" ref="G22" ca="1">IFERROR(INDIRECT($A22&amp;"!"&amp;G$20),"")</f>
        <v/>
      </c>
      <c r="H22" s="31" t="str" cm="1">
        <f t="array" aca="1" ref="H22" ca="1">IFERROR(INDIRECT($A22&amp;"!"&amp;H$20),"")</f>
        <v/>
      </c>
      <c r="I22" s="1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35">
      <c r="A23" s="30"/>
      <c r="B23" s="31" t="str" cm="1">
        <f t="array" aca="1" ref="B23" ca="1">IFERROR(INDIRECT($A23&amp;"!"&amp;B$20),"")</f>
        <v/>
      </c>
      <c r="C23" s="332"/>
      <c r="D23" s="333"/>
      <c r="E23" s="32"/>
      <c r="F23" s="31" t="str" cm="1">
        <f t="array" aca="1" ref="F23" ca="1">IFERROR(INDIRECT($A23&amp;"!"&amp;F$20),"")</f>
        <v/>
      </c>
      <c r="G23" s="31" t="str" cm="1">
        <f t="array" aca="1" ref="G23" ca="1">IFERROR(INDIRECT($A23&amp;"!"&amp;G$20),"")</f>
        <v/>
      </c>
      <c r="H23" s="31" t="str" cm="1">
        <f t="array" aca="1" ref="H23" ca="1">IFERROR(INDIRECT($A23&amp;"!"&amp;H$20),"")</f>
        <v/>
      </c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35">
      <c r="A24" s="30"/>
      <c r="B24" s="31" t="str" cm="1">
        <f t="array" aca="1" ref="B24" ca="1">IFERROR(INDIRECT($A24&amp;"!"&amp;B$20),"")</f>
        <v/>
      </c>
      <c r="C24" s="332"/>
      <c r="D24" s="333"/>
      <c r="E24" s="32"/>
      <c r="F24" s="31" t="str" cm="1">
        <f t="array" aca="1" ref="F24" ca="1">IFERROR(INDIRECT($A24&amp;"!"&amp;F$20),"")</f>
        <v/>
      </c>
      <c r="G24" s="31" t="str" cm="1">
        <f t="array" aca="1" ref="G24" ca="1">IFERROR(INDIRECT($A24&amp;"!"&amp;G$20),"")</f>
        <v/>
      </c>
      <c r="H24" s="31" t="str" cm="1">
        <f t="array" aca="1" ref="H24" ca="1">IFERROR(INDIRECT($A24&amp;"!"&amp;H$20),"")</f>
        <v/>
      </c>
      <c r="I24" s="1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35">
      <c r="A25" s="30"/>
      <c r="B25" s="31" t="str" cm="1">
        <f t="array" aca="1" ref="B25" ca="1">IFERROR(INDIRECT($A25&amp;"!"&amp;B$20),"")</f>
        <v/>
      </c>
      <c r="C25" s="332"/>
      <c r="D25" s="333"/>
      <c r="E25" s="32"/>
      <c r="F25" s="31" t="str" cm="1">
        <f t="array" aca="1" ref="F25" ca="1">IFERROR(INDIRECT($A25&amp;"!"&amp;F$20),"")</f>
        <v/>
      </c>
      <c r="G25" s="31" t="str" cm="1">
        <f t="array" aca="1" ref="G25" ca="1">IFERROR(INDIRECT($A25&amp;"!"&amp;G$20),"")</f>
        <v/>
      </c>
      <c r="H25" s="31" t="str" cm="1">
        <f t="array" aca="1" ref="H25" ca="1">IFERROR(INDIRECT($A25&amp;"!"&amp;H$20),"")</f>
        <v/>
      </c>
      <c r="I25" s="1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35">
      <c r="A26" s="30"/>
      <c r="B26" s="31" t="str" cm="1">
        <f t="array" aca="1" ref="B26" ca="1">IFERROR(INDIRECT($A26&amp;"!"&amp;B$20),"")</f>
        <v/>
      </c>
      <c r="C26" s="332"/>
      <c r="D26" s="333"/>
      <c r="E26" s="32"/>
      <c r="F26" s="31" t="str" cm="1">
        <f t="array" aca="1" ref="F26" ca="1">IFERROR(INDIRECT($A26&amp;"!"&amp;F$20),"")</f>
        <v/>
      </c>
      <c r="G26" s="31" t="str" cm="1">
        <f t="array" aca="1" ref="G26" ca="1">IFERROR(INDIRECT($A26&amp;"!"&amp;G$20),"")</f>
        <v/>
      </c>
      <c r="H26" s="31" t="str" cm="1">
        <f t="array" aca="1" ref="H26" ca="1">IFERROR(INDIRECT($A26&amp;"!"&amp;H$20),"")</f>
        <v/>
      </c>
      <c r="I26" s="1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35">
      <c r="A27" s="30"/>
      <c r="B27" s="31" t="str" cm="1">
        <f t="array" aca="1" ref="B27" ca="1">IFERROR(INDIRECT($A27&amp;"!"&amp;B$20),"")</f>
        <v/>
      </c>
      <c r="C27" s="332"/>
      <c r="D27" s="333"/>
      <c r="E27" s="32"/>
      <c r="F27" s="31" t="str" cm="1">
        <f t="array" aca="1" ref="F27" ca="1">IFERROR(INDIRECT($A27&amp;"!"&amp;F$20),"")</f>
        <v/>
      </c>
      <c r="G27" s="31" t="str" cm="1">
        <f t="array" aca="1" ref="G27" ca="1">IFERROR(INDIRECT($A27&amp;"!"&amp;G$20),"")</f>
        <v/>
      </c>
      <c r="H27" s="31" t="str" cm="1">
        <f t="array" aca="1" ref="H27" ca="1">IFERROR(INDIRECT($A27&amp;"!"&amp;H$20),"")</f>
        <v/>
      </c>
      <c r="I27" s="17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35">
      <c r="A28" s="30"/>
      <c r="B28" s="31" t="str" cm="1">
        <f t="array" aca="1" ref="B28" ca="1">IFERROR(INDIRECT($A28&amp;"!"&amp;B$20),"")</f>
        <v/>
      </c>
      <c r="C28" s="332"/>
      <c r="D28" s="333"/>
      <c r="E28" s="32"/>
      <c r="F28" s="31" t="str" cm="1">
        <f t="array" aca="1" ref="F28" ca="1">IFERROR(INDIRECT($A28&amp;"!"&amp;F$20),"")</f>
        <v/>
      </c>
      <c r="G28" s="31" t="str" cm="1">
        <f t="array" aca="1" ref="G28" ca="1">IFERROR(INDIRECT($A28&amp;"!"&amp;G$20),"")</f>
        <v/>
      </c>
      <c r="H28" s="31" t="str" cm="1">
        <f t="array" aca="1" ref="H28" ca="1">IFERROR(INDIRECT($A28&amp;"!"&amp;H$20),"")</f>
        <v/>
      </c>
      <c r="I28" s="17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35">
      <c r="A29" s="30"/>
      <c r="B29" s="31" t="str" cm="1">
        <f t="array" aca="1" ref="B29" ca="1">IFERROR(INDIRECT($A29&amp;"!"&amp;B$20),"")</f>
        <v/>
      </c>
      <c r="C29" s="332"/>
      <c r="D29" s="333"/>
      <c r="E29" s="32"/>
      <c r="F29" s="31" t="str" cm="1">
        <f t="array" aca="1" ref="F29" ca="1">IFERROR(INDIRECT($A29&amp;"!"&amp;F$20),"")</f>
        <v/>
      </c>
      <c r="G29" s="31" t="str" cm="1">
        <f t="array" aca="1" ref="G29" ca="1">IFERROR(INDIRECT($A29&amp;"!"&amp;G$20),"")</f>
        <v/>
      </c>
      <c r="H29" s="31" t="str" cm="1">
        <f t="array" aca="1" ref="H29" ca="1">IFERROR(INDIRECT($A29&amp;"!"&amp;H$20),"")</f>
        <v/>
      </c>
      <c r="I29" s="17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35">
      <c r="A30" s="30"/>
      <c r="B30" s="31" t="str" cm="1">
        <f t="array" aca="1" ref="B30" ca="1">IFERROR(INDIRECT($A30&amp;"!"&amp;B$20),"")</f>
        <v/>
      </c>
      <c r="C30" s="332"/>
      <c r="D30" s="333"/>
      <c r="E30" s="32"/>
      <c r="F30" s="31" t="str" cm="1">
        <f t="array" aca="1" ref="F30" ca="1">IFERROR(INDIRECT($A30&amp;"!"&amp;F$20),"")</f>
        <v/>
      </c>
      <c r="G30" s="31" t="str" cm="1">
        <f t="array" aca="1" ref="G30" ca="1">IFERROR(INDIRECT($A30&amp;"!"&amp;G$20),"")</f>
        <v/>
      </c>
      <c r="H30" s="31" t="str" cm="1">
        <f t="array" aca="1" ref="H30" ca="1">IFERROR(INDIRECT($A30&amp;"!"&amp;H$20),"")</f>
        <v/>
      </c>
      <c r="I30" s="1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4" spans="1:3" x14ac:dyDescent="0.35">
      <c r="A34" s="4" t="s">
        <v>31</v>
      </c>
      <c r="B34" s="4"/>
      <c r="C34" s="4"/>
    </row>
    <row r="35" spans="1:3" x14ac:dyDescent="0.35">
      <c r="A35" t="s">
        <v>32</v>
      </c>
      <c r="B35" s="4"/>
      <c r="C35" s="4"/>
    </row>
    <row r="36" spans="1:3" x14ac:dyDescent="0.35">
      <c r="A36" t="s">
        <v>33</v>
      </c>
    </row>
  </sheetData>
  <mergeCells count="28"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26:D26"/>
    <mergeCell ref="C20:D20"/>
    <mergeCell ref="D8:H8"/>
    <mergeCell ref="A9:H10"/>
    <mergeCell ref="A11:H11"/>
    <mergeCell ref="B12:H12"/>
    <mergeCell ref="B13:H13"/>
    <mergeCell ref="B14:H14"/>
    <mergeCell ref="B15:H15"/>
    <mergeCell ref="B16:H16"/>
    <mergeCell ref="B17:H17"/>
    <mergeCell ref="A18:H18"/>
    <mergeCell ref="C19:D19"/>
    <mergeCell ref="A7:C7"/>
    <mergeCell ref="D1:H1"/>
    <mergeCell ref="D2:H2"/>
    <mergeCell ref="D3:H3"/>
    <mergeCell ref="D4:H4"/>
    <mergeCell ref="A6:H6"/>
  </mergeCells>
  <conditionalFormatting sqref="A12:A14">
    <cfRule type="beginsWith" dxfId="5" priority="1" stopIfTrue="1" operator="beginsWith" text="Functioning At Risk">
      <formula>LEFT(A12,LEN("Functioning At Risk"))="Functioning At Risk"</formula>
    </cfRule>
    <cfRule type="beginsWith" dxfId="4" priority="2" stopIfTrue="1" operator="beginsWith" text="Not Functioning">
      <formula>LEFT(A12,LEN("Not Functioning"))="Not Functioning"</formula>
    </cfRule>
    <cfRule type="containsText" dxfId="3" priority="3" operator="containsText" text="Functioning">
      <formula>NOT(ISERROR(SEARCH("Functioning",A12)))</formula>
    </cfRule>
  </conditionalFormatting>
  <dataValidations count="3">
    <dataValidation type="list" allowBlank="1" showInputMessage="1" showErrorMessage="1" sqref="B16:I16" xr:uid="{FF3309A2-DE33-48BB-BCE5-4227EB913E9B}">
      <formula1>RiverBasins</formula1>
    </dataValidation>
    <dataValidation type="list" allowBlank="1" showInputMessage="1" showErrorMessage="1" sqref="I15" xr:uid="{D42018D4-BC04-4C71-B8C6-A8A38412342D}">
      <formula1>Region</formula1>
    </dataValidation>
    <dataValidation type="list" allowBlank="1" showInputMessage="1" showErrorMessage="1" sqref="D7" xr:uid="{C9C3234E-DCB9-40E3-9F8C-E06875C1F2E3}">
      <formula1>ProgramGoals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CA54-7CDD-4D5A-B1DF-DE39FCB28975}">
  <dimension ref="A1:D35"/>
  <sheetViews>
    <sheetView tabSelected="1" zoomScaleNormal="100" workbookViewId="0">
      <selection activeCell="C16" sqref="C16"/>
    </sheetView>
  </sheetViews>
  <sheetFormatPr defaultRowHeight="14.5" x14ac:dyDescent="0.35"/>
  <cols>
    <col min="1" max="1" width="16.81640625" customWidth="1"/>
    <col min="2" max="2" width="21.453125" customWidth="1"/>
    <col min="3" max="3" width="34.81640625" style="34" bestFit="1" customWidth="1"/>
    <col min="4" max="4" width="48.453125" style="35" customWidth="1"/>
  </cols>
  <sheetData>
    <row r="1" spans="1:4" ht="18.5" x14ac:dyDescent="0.45">
      <c r="A1" s="33" t="s">
        <v>34</v>
      </c>
    </row>
    <row r="2" spans="1:4" x14ac:dyDescent="0.35">
      <c r="A2" t="s">
        <v>35</v>
      </c>
    </row>
    <row r="3" spans="1:4" x14ac:dyDescent="0.35">
      <c r="A3" t="s">
        <v>36</v>
      </c>
    </row>
    <row r="4" spans="1:4" x14ac:dyDescent="0.35">
      <c r="A4" t="s">
        <v>37</v>
      </c>
    </row>
    <row r="6" spans="1:4" x14ac:dyDescent="0.35">
      <c r="A6" t="s">
        <v>38</v>
      </c>
    </row>
    <row r="7" spans="1:4" x14ac:dyDescent="0.35">
      <c r="A7" t="s">
        <v>39</v>
      </c>
    </row>
    <row r="9" spans="1:4" ht="26" x14ac:dyDescent="0.35">
      <c r="A9" s="36" t="s">
        <v>40</v>
      </c>
      <c r="B9" s="36" t="s">
        <v>41</v>
      </c>
      <c r="C9" s="36" t="s">
        <v>42</v>
      </c>
      <c r="D9" s="36" t="s">
        <v>43</v>
      </c>
    </row>
    <row r="10" spans="1:4" x14ac:dyDescent="0.35">
      <c r="A10" s="334" t="s">
        <v>44</v>
      </c>
      <c r="B10" s="334" t="s">
        <v>45</v>
      </c>
      <c r="C10" s="37" t="s">
        <v>46</v>
      </c>
      <c r="D10" s="38" t="s">
        <v>47</v>
      </c>
    </row>
    <row r="11" spans="1:4" x14ac:dyDescent="0.35">
      <c r="A11" s="335"/>
      <c r="B11" s="335"/>
      <c r="C11" s="39" t="s">
        <v>48</v>
      </c>
      <c r="D11" s="38" t="s">
        <v>47</v>
      </c>
    </row>
    <row r="12" spans="1:4" x14ac:dyDescent="0.35">
      <c r="A12" s="336" t="s">
        <v>49</v>
      </c>
      <c r="B12" s="337" t="s">
        <v>50</v>
      </c>
      <c r="C12" s="40" t="s">
        <v>51</v>
      </c>
      <c r="D12" s="41" t="s">
        <v>47</v>
      </c>
    </row>
    <row r="13" spans="1:4" ht="26" x14ac:dyDescent="0.35">
      <c r="A13" s="337"/>
      <c r="B13" s="338"/>
      <c r="C13" s="42" t="s">
        <v>52</v>
      </c>
      <c r="D13" s="43" t="s">
        <v>53</v>
      </c>
    </row>
    <row r="14" spans="1:4" x14ac:dyDescent="0.35">
      <c r="A14" s="339" t="s">
        <v>54</v>
      </c>
      <c r="B14" s="44" t="s">
        <v>55</v>
      </c>
      <c r="C14" s="45" t="s">
        <v>56</v>
      </c>
      <c r="D14" s="46" t="s">
        <v>57</v>
      </c>
    </row>
    <row r="15" spans="1:4" x14ac:dyDescent="0.35">
      <c r="A15" s="340"/>
      <c r="B15" s="340" t="s">
        <v>58</v>
      </c>
      <c r="C15" s="48" t="s">
        <v>59</v>
      </c>
      <c r="D15" s="342" t="s">
        <v>425</v>
      </c>
    </row>
    <row r="16" spans="1:4" x14ac:dyDescent="0.35">
      <c r="A16" s="340"/>
      <c r="B16" s="340"/>
      <c r="C16" s="48" t="s">
        <v>60</v>
      </c>
      <c r="D16" s="343"/>
    </row>
    <row r="17" spans="1:4" x14ac:dyDescent="0.35">
      <c r="A17" s="340"/>
      <c r="B17" s="341"/>
      <c r="C17" s="49" t="s">
        <v>61</v>
      </c>
      <c r="D17" s="344"/>
    </row>
    <row r="18" spans="1:4" ht="26" x14ac:dyDescent="0.35">
      <c r="A18" s="340"/>
      <c r="B18" s="345" t="s">
        <v>62</v>
      </c>
      <c r="C18" s="50" t="s">
        <v>63</v>
      </c>
      <c r="D18" s="51" t="s">
        <v>64</v>
      </c>
    </row>
    <row r="19" spans="1:4" x14ac:dyDescent="0.35">
      <c r="A19" s="340"/>
      <c r="B19" s="346"/>
      <c r="C19" s="45" t="s">
        <v>65</v>
      </c>
      <c r="D19" s="52" t="s">
        <v>66</v>
      </c>
    </row>
    <row r="20" spans="1:4" ht="26" x14ac:dyDescent="0.35">
      <c r="A20" s="340"/>
      <c r="B20" s="346"/>
      <c r="C20" s="45" t="s">
        <v>67</v>
      </c>
      <c r="D20" s="51" t="s">
        <v>64</v>
      </c>
    </row>
    <row r="21" spans="1:4" ht="26" x14ac:dyDescent="0.35">
      <c r="A21" s="340"/>
      <c r="B21" s="346"/>
      <c r="C21" s="45" t="s">
        <v>68</v>
      </c>
      <c r="D21" s="51" t="s">
        <v>64</v>
      </c>
    </row>
    <row r="22" spans="1:4" x14ac:dyDescent="0.35">
      <c r="A22" s="340"/>
      <c r="B22" s="339" t="s">
        <v>69</v>
      </c>
      <c r="C22" s="50" t="s">
        <v>70</v>
      </c>
      <c r="D22" s="342" t="s">
        <v>426</v>
      </c>
    </row>
    <row r="23" spans="1:4" x14ac:dyDescent="0.35">
      <c r="A23" s="340"/>
      <c r="B23" s="340"/>
      <c r="C23" s="48" t="s">
        <v>71</v>
      </c>
      <c r="D23" s="343"/>
    </row>
    <row r="24" spans="1:4" x14ac:dyDescent="0.35">
      <c r="A24" s="340"/>
      <c r="B24" s="340"/>
      <c r="C24" s="53" t="s">
        <v>72</v>
      </c>
      <c r="D24" s="344"/>
    </row>
    <row r="25" spans="1:4" x14ac:dyDescent="0.35">
      <c r="A25" s="47"/>
      <c r="B25" s="347" t="s">
        <v>73</v>
      </c>
      <c r="C25" s="45" t="s">
        <v>74</v>
      </c>
      <c r="D25" s="526" t="s">
        <v>82</v>
      </c>
    </row>
    <row r="26" spans="1:4" x14ac:dyDescent="0.35">
      <c r="A26" s="47"/>
      <c r="B26" s="348"/>
      <c r="C26" s="45" t="s">
        <v>75</v>
      </c>
      <c r="D26" s="526" t="s">
        <v>427</v>
      </c>
    </row>
    <row r="27" spans="1:4" x14ac:dyDescent="0.35">
      <c r="A27" s="47"/>
      <c r="B27" s="348"/>
      <c r="C27" s="50" t="s">
        <v>76</v>
      </c>
      <c r="D27" s="54" t="s">
        <v>82</v>
      </c>
    </row>
    <row r="28" spans="1:4" ht="38.5" customHeight="1" x14ac:dyDescent="0.35">
      <c r="A28" s="47"/>
      <c r="B28" s="348"/>
      <c r="C28" s="50" t="s">
        <v>77</v>
      </c>
      <c r="D28" s="342" t="s">
        <v>428</v>
      </c>
    </row>
    <row r="29" spans="1:4" ht="39.5" customHeight="1" x14ac:dyDescent="0.35">
      <c r="A29" s="47"/>
      <c r="B29" s="349"/>
      <c r="C29" s="53" t="s">
        <v>78</v>
      </c>
      <c r="D29" s="350"/>
    </row>
    <row r="30" spans="1:4" ht="22.25" customHeight="1" x14ac:dyDescent="0.35">
      <c r="A30" s="351" t="s">
        <v>79</v>
      </c>
      <c r="B30" s="55" t="s">
        <v>80</v>
      </c>
      <c r="C30" s="56" t="s">
        <v>81</v>
      </c>
      <c r="D30" s="57" t="s">
        <v>82</v>
      </c>
    </row>
    <row r="31" spans="1:4" x14ac:dyDescent="0.35">
      <c r="A31" s="352"/>
      <c r="B31" s="55" t="s">
        <v>83</v>
      </c>
      <c r="C31" s="59" t="s">
        <v>84</v>
      </c>
      <c r="D31" s="57" t="s">
        <v>427</v>
      </c>
    </row>
    <row r="32" spans="1:4" ht="19.25" customHeight="1" x14ac:dyDescent="0.35">
      <c r="A32" s="352"/>
      <c r="B32" s="58" t="s">
        <v>85</v>
      </c>
      <c r="C32" s="56" t="s">
        <v>86</v>
      </c>
      <c r="D32" s="57" t="s">
        <v>82</v>
      </c>
    </row>
    <row r="33" spans="1:4" ht="14.4" customHeight="1" x14ac:dyDescent="0.35">
      <c r="A33" s="353" t="s">
        <v>87</v>
      </c>
      <c r="B33" s="524" t="s">
        <v>417</v>
      </c>
      <c r="C33" s="523" t="s">
        <v>416</v>
      </c>
      <c r="D33" s="525" t="s">
        <v>427</v>
      </c>
    </row>
    <row r="34" spans="1:4" ht="70" customHeight="1" x14ac:dyDescent="0.35">
      <c r="A34" s="353"/>
      <c r="B34" s="353" t="s">
        <v>88</v>
      </c>
      <c r="C34" s="522" t="s">
        <v>89</v>
      </c>
      <c r="D34" s="521" t="s">
        <v>428</v>
      </c>
    </row>
    <row r="35" spans="1:4" x14ac:dyDescent="0.35">
      <c r="A35" s="353"/>
      <c r="B35" s="353"/>
      <c r="C35" s="522"/>
      <c r="D35" s="520"/>
    </row>
  </sheetData>
  <sheetProtection algorithmName="SHA-512" hashValue="/ZLAeQvPHyk/FfXqKTkffY5B9SJm2Kcn3lnWBp1RgHPKoczMI2xau2DiqGwfgC7HIp1XvUthOY+Z379cwNgTPg==" saltValue="eq4211pXESPYEikQCo2oeA==" spinCount="100000" sheet="1" objects="1" scenarios="1"/>
  <mergeCells count="17">
    <mergeCell ref="D34:D35"/>
    <mergeCell ref="A33:A35"/>
    <mergeCell ref="B34:B35"/>
    <mergeCell ref="C34:C35"/>
    <mergeCell ref="A30:A32"/>
    <mergeCell ref="D15:D17"/>
    <mergeCell ref="B18:B21"/>
    <mergeCell ref="B22:B24"/>
    <mergeCell ref="D22:D24"/>
    <mergeCell ref="B25:B29"/>
    <mergeCell ref="D28:D29"/>
    <mergeCell ref="A10:A11"/>
    <mergeCell ref="B10:B11"/>
    <mergeCell ref="A12:A13"/>
    <mergeCell ref="B12:B13"/>
    <mergeCell ref="A14:A24"/>
    <mergeCell ref="B15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531B-2151-4363-83D6-F201AAE80A9E}">
  <dimension ref="A1:O204"/>
  <sheetViews>
    <sheetView zoomScale="80" zoomScaleNormal="80" workbookViewId="0">
      <selection activeCell="D146" sqref="D146"/>
    </sheetView>
  </sheetViews>
  <sheetFormatPr defaultRowHeight="14.5" x14ac:dyDescent="0.35"/>
  <cols>
    <col min="1" max="1" width="18.08984375" customWidth="1"/>
    <col min="2" max="2" width="24.453125" customWidth="1"/>
    <col min="3" max="3" width="19.81640625" customWidth="1"/>
    <col min="4" max="4" width="24.81640625" customWidth="1"/>
    <col min="5" max="15" width="14" customWidth="1"/>
  </cols>
  <sheetData>
    <row r="1" spans="1:15" ht="21" customHeight="1" x14ac:dyDescent="0.55000000000000004">
      <c r="A1" s="354" t="s">
        <v>90</v>
      </c>
      <c r="B1" s="355"/>
      <c r="C1" s="356"/>
      <c r="E1" s="357" t="s">
        <v>1</v>
      </c>
      <c r="F1" s="357"/>
      <c r="G1" s="357"/>
      <c r="H1" s="357"/>
      <c r="I1" s="357"/>
      <c r="K1" s="358" t="s">
        <v>91</v>
      </c>
      <c r="L1" s="359"/>
    </row>
    <row r="2" spans="1:15" ht="19.5" customHeight="1" x14ac:dyDescent="0.35">
      <c r="A2" s="354"/>
      <c r="B2" s="355"/>
      <c r="C2" s="356"/>
      <c r="E2" s="360" t="s">
        <v>92</v>
      </c>
      <c r="F2" s="360"/>
      <c r="G2" s="360"/>
      <c r="H2" s="360"/>
      <c r="I2" s="360"/>
      <c r="K2" s="361" t="s">
        <v>93</v>
      </c>
      <c r="L2" s="361"/>
    </row>
    <row r="3" spans="1:15" ht="18" customHeight="1" x14ac:dyDescent="0.35">
      <c r="A3" s="362" t="s">
        <v>11</v>
      </c>
      <c r="B3" s="362"/>
      <c r="C3" s="61"/>
      <c r="E3" s="363" t="s">
        <v>5</v>
      </c>
      <c r="F3" s="363"/>
      <c r="G3" s="363"/>
      <c r="H3" s="363"/>
      <c r="I3" s="363"/>
      <c r="K3" s="364" t="s">
        <v>94</v>
      </c>
      <c r="L3" s="365"/>
    </row>
    <row r="4" spans="1:15" ht="21.65" customHeight="1" x14ac:dyDescent="0.35">
      <c r="A4" s="362" t="s">
        <v>95</v>
      </c>
      <c r="B4" s="362"/>
      <c r="C4" s="62"/>
      <c r="E4" s="369" t="s">
        <v>6</v>
      </c>
      <c r="F4" s="369"/>
      <c r="G4" s="369"/>
      <c r="H4" s="369"/>
      <c r="I4" s="369"/>
      <c r="K4" s="370" t="s">
        <v>96</v>
      </c>
      <c r="L4" s="370"/>
    </row>
    <row r="5" spans="1:15" ht="15.75" customHeight="1" x14ac:dyDescent="0.35">
      <c r="A5" s="362" t="s">
        <v>97</v>
      </c>
      <c r="B5" s="362"/>
      <c r="C5" s="63"/>
      <c r="E5" s="371"/>
      <c r="F5" s="371"/>
      <c r="G5" s="371"/>
      <c r="H5" s="371"/>
      <c r="I5" s="371"/>
    </row>
    <row r="6" spans="1:15" ht="15.5" x14ac:dyDescent="0.35">
      <c r="A6" s="362" t="s">
        <v>98</v>
      </c>
      <c r="B6" s="362"/>
      <c r="C6" s="61"/>
      <c r="E6" s="371"/>
      <c r="F6" s="371"/>
      <c r="G6" s="371"/>
      <c r="H6" s="371"/>
      <c r="I6" s="371"/>
      <c r="J6" s="372" t="s">
        <v>99</v>
      </c>
      <c r="K6" s="372"/>
      <c r="L6" s="372"/>
      <c r="M6" s="372"/>
      <c r="N6" s="372"/>
      <c r="O6" s="373"/>
    </row>
    <row r="7" spans="1:15" ht="21" x14ac:dyDescent="0.5">
      <c r="A7" s="362" t="s">
        <v>15</v>
      </c>
      <c r="B7" s="362"/>
      <c r="C7" s="61"/>
      <c r="E7" s="377" t="s">
        <v>100</v>
      </c>
      <c r="F7" s="378"/>
      <c r="G7" s="378"/>
      <c r="H7" s="379"/>
      <c r="J7" s="374"/>
      <c r="K7" s="375"/>
      <c r="L7" s="375"/>
      <c r="M7" s="375"/>
      <c r="N7" s="375"/>
      <c r="O7" s="376"/>
    </row>
    <row r="8" spans="1:15" ht="15.5" x14ac:dyDescent="0.35">
      <c r="A8" s="362" t="s">
        <v>101</v>
      </c>
      <c r="B8" s="362"/>
      <c r="C8" s="62"/>
      <c r="E8" s="499" t="s">
        <v>102</v>
      </c>
      <c r="F8" s="500"/>
      <c r="G8" s="501"/>
      <c r="H8" s="64" t="str">
        <f>IFERROR(ROUND(C141,2),"")</f>
        <v/>
      </c>
      <c r="J8" s="315"/>
      <c r="K8" s="316"/>
      <c r="L8" s="316"/>
      <c r="M8" s="316"/>
      <c r="N8" s="316"/>
      <c r="O8" s="317"/>
    </row>
    <row r="9" spans="1:15" ht="15.5" x14ac:dyDescent="0.35">
      <c r="A9" s="362" t="s">
        <v>103</v>
      </c>
      <c r="B9" s="362"/>
      <c r="C9" s="62"/>
      <c r="E9" s="499" t="s">
        <v>104</v>
      </c>
      <c r="F9" s="500"/>
      <c r="G9" s="501"/>
      <c r="H9" s="64" t="str">
        <f>IFERROR(ROUND(D141,2),"")</f>
        <v/>
      </c>
      <c r="J9" s="366"/>
      <c r="K9" s="367"/>
      <c r="L9" s="367"/>
      <c r="M9" s="367"/>
      <c r="N9" s="367"/>
      <c r="O9" s="368"/>
    </row>
    <row r="10" spans="1:15" ht="15.5" x14ac:dyDescent="0.35">
      <c r="A10" s="362" t="s">
        <v>105</v>
      </c>
      <c r="B10" s="362"/>
      <c r="C10" s="63"/>
      <c r="E10" s="499" t="s">
        <v>106</v>
      </c>
      <c r="F10" s="500"/>
      <c r="G10" s="501"/>
      <c r="H10" s="65" t="str">
        <f>IFERROR(H9-H8,"")</f>
        <v/>
      </c>
      <c r="J10" s="366"/>
      <c r="K10" s="367"/>
      <c r="L10" s="367"/>
      <c r="M10" s="367"/>
      <c r="N10" s="367"/>
      <c r="O10" s="368"/>
    </row>
    <row r="11" spans="1:15" ht="15.5" x14ac:dyDescent="0.35">
      <c r="A11" s="362" t="s">
        <v>107</v>
      </c>
      <c r="B11" s="362"/>
      <c r="C11" s="63"/>
      <c r="E11" s="499" t="s">
        <v>108</v>
      </c>
      <c r="F11" s="500"/>
      <c r="G11" s="501"/>
      <c r="H11" s="66" t="str">
        <f>IFERROR(H10/H8,"")</f>
        <v/>
      </c>
      <c r="J11" s="318"/>
      <c r="K11" s="319"/>
      <c r="L11" s="319"/>
      <c r="M11" s="319"/>
      <c r="N11" s="319"/>
      <c r="O11" s="320"/>
    </row>
    <row r="12" spans="1:15" ht="15.5" x14ac:dyDescent="0.35">
      <c r="A12" s="362" t="s">
        <v>109</v>
      </c>
      <c r="B12" s="362"/>
      <c r="C12" s="63"/>
      <c r="E12" s="499" t="s">
        <v>110</v>
      </c>
      <c r="F12" s="500"/>
      <c r="G12" s="501"/>
      <c r="H12" s="67">
        <f>C8</f>
        <v>0</v>
      </c>
      <c r="J12" s="5"/>
      <c r="O12" s="13"/>
    </row>
    <row r="13" spans="1:15" ht="15.5" x14ac:dyDescent="0.35">
      <c r="A13" s="362" t="s">
        <v>111</v>
      </c>
      <c r="B13" s="362"/>
      <c r="C13" s="62"/>
      <c r="E13" s="499" t="s">
        <v>112</v>
      </c>
      <c r="F13" s="500"/>
      <c r="G13" s="501"/>
      <c r="H13" s="67">
        <f>C9</f>
        <v>0</v>
      </c>
      <c r="J13" s="294" t="s">
        <v>113</v>
      </c>
      <c r="K13" s="295"/>
      <c r="L13" s="295"/>
      <c r="M13" s="295"/>
      <c r="N13" s="295"/>
      <c r="O13" s="296"/>
    </row>
    <row r="14" spans="1:15" ht="15.5" x14ac:dyDescent="0.35">
      <c r="A14" s="362" t="s">
        <v>114</v>
      </c>
      <c r="B14" s="362"/>
      <c r="C14" s="63"/>
      <c r="E14" s="499" t="s">
        <v>115</v>
      </c>
      <c r="F14" s="500"/>
      <c r="G14" s="501"/>
      <c r="H14" s="68">
        <f>IFERROR(H13-H12,"")</f>
        <v>0</v>
      </c>
      <c r="J14" s="315"/>
      <c r="K14" s="316"/>
      <c r="L14" s="316"/>
      <c r="M14" s="316"/>
      <c r="N14" s="316"/>
      <c r="O14" s="317"/>
    </row>
    <row r="15" spans="1:15" ht="15.5" x14ac:dyDescent="0.35">
      <c r="A15" s="362" t="s">
        <v>116</v>
      </c>
      <c r="B15" s="362"/>
      <c r="C15" s="63"/>
      <c r="E15" s="499" t="s">
        <v>117</v>
      </c>
      <c r="F15" s="500"/>
      <c r="G15" s="501"/>
      <c r="H15" s="69" t="str">
        <f>IF(OR(C8="",C9=""),"",ROUND(IFERROR(H8*H12,""),2))</f>
        <v/>
      </c>
      <c r="J15" s="366"/>
      <c r="K15" s="367"/>
      <c r="L15" s="367"/>
      <c r="M15" s="367"/>
      <c r="N15" s="367"/>
      <c r="O15" s="368"/>
    </row>
    <row r="16" spans="1:15" ht="15.5" x14ac:dyDescent="0.35">
      <c r="A16" s="362" t="s">
        <v>118</v>
      </c>
      <c r="B16" s="362"/>
      <c r="C16" s="63"/>
      <c r="E16" s="499" t="s">
        <v>119</v>
      </c>
      <c r="F16" s="500"/>
      <c r="G16" s="501"/>
      <c r="H16" s="69" t="str">
        <f>IF(OR(C8="",C9=""),"",ROUND(IFERROR(H13*H9,""),2))</f>
        <v/>
      </c>
      <c r="J16" s="366"/>
      <c r="K16" s="367"/>
      <c r="L16" s="367"/>
      <c r="M16" s="367"/>
      <c r="N16" s="367"/>
      <c r="O16" s="368"/>
    </row>
    <row r="17" spans="1:15" ht="15.5" x14ac:dyDescent="0.35">
      <c r="A17" s="362" t="s">
        <v>120</v>
      </c>
      <c r="B17" s="362"/>
      <c r="C17" s="62"/>
      <c r="E17" s="499" t="s">
        <v>424</v>
      </c>
      <c r="F17" s="500"/>
      <c r="G17" s="501"/>
      <c r="H17" s="70" t="str">
        <f>IF(H15="","",H16-H15)</f>
        <v/>
      </c>
      <c r="J17" s="366"/>
      <c r="K17" s="367"/>
      <c r="L17" s="367"/>
      <c r="M17" s="367"/>
      <c r="N17" s="367"/>
      <c r="O17" s="368"/>
    </row>
    <row r="18" spans="1:15" ht="33.75" customHeight="1" x14ac:dyDescent="0.35">
      <c r="A18" s="380" t="s">
        <v>121</v>
      </c>
      <c r="B18" s="380"/>
      <c r="C18" s="63"/>
      <c r="E18" s="499" t="s">
        <v>122</v>
      </c>
      <c r="F18" s="500"/>
      <c r="G18" s="501"/>
      <c r="H18" s="71" t="str">
        <f>IFERROR((H16-H15)/H12,"")</f>
        <v/>
      </c>
      <c r="J18" s="366"/>
      <c r="K18" s="367"/>
      <c r="L18" s="367"/>
      <c r="M18" s="367"/>
      <c r="N18" s="367"/>
      <c r="O18" s="368"/>
    </row>
    <row r="19" spans="1:15" ht="15.5" x14ac:dyDescent="0.35">
      <c r="A19" s="362" t="s">
        <v>123</v>
      </c>
      <c r="B19" s="362"/>
      <c r="C19" s="63"/>
      <c r="E19" s="515" t="s">
        <v>124</v>
      </c>
      <c r="F19" s="516"/>
      <c r="G19" s="517"/>
      <c r="H19" s="72" t="str">
        <f>IF(H15="","",H15/C8)</f>
        <v/>
      </c>
      <c r="J19" s="366"/>
      <c r="K19" s="367"/>
      <c r="L19" s="367"/>
      <c r="M19" s="367"/>
      <c r="N19" s="367"/>
      <c r="O19" s="368"/>
    </row>
    <row r="20" spans="1:15" ht="15.5" x14ac:dyDescent="0.35">
      <c r="A20" s="380" t="s">
        <v>125</v>
      </c>
      <c r="B20" s="380"/>
      <c r="C20" s="63"/>
      <c r="E20" s="515" t="s">
        <v>126</v>
      </c>
      <c r="F20" s="516"/>
      <c r="G20" s="517"/>
      <c r="H20" s="72" t="str">
        <f>IF(H16="","",H16/C9)</f>
        <v/>
      </c>
      <c r="J20" s="318"/>
      <c r="K20" s="319"/>
      <c r="L20" s="319"/>
      <c r="M20" s="319"/>
      <c r="N20" s="319"/>
      <c r="O20" s="320"/>
    </row>
    <row r="21" spans="1:15" ht="20.5" customHeight="1" x14ac:dyDescent="0.55000000000000004">
      <c r="A21" s="380" t="s">
        <v>127</v>
      </c>
      <c r="B21" s="380"/>
      <c r="C21" s="63"/>
      <c r="D21" s="73"/>
      <c r="E21" s="506" t="s">
        <v>420</v>
      </c>
      <c r="F21" s="507"/>
      <c r="G21" s="508"/>
      <c r="H21" s="479"/>
      <c r="I21" s="73"/>
      <c r="J21" s="73"/>
      <c r="K21" s="73"/>
    </row>
    <row r="22" spans="1:15" ht="20.5" customHeight="1" x14ac:dyDescent="0.55000000000000004">
      <c r="A22" s="477"/>
      <c r="B22" s="477"/>
      <c r="C22" s="478"/>
      <c r="D22" s="73"/>
      <c r="E22" s="509" t="s">
        <v>421</v>
      </c>
      <c r="F22" s="510"/>
      <c r="G22" s="511"/>
      <c r="H22" s="480" t="str">
        <f>IF(H21="","",1-((H21/H17)/H12))</f>
        <v/>
      </c>
      <c r="I22" s="73"/>
      <c r="J22" s="73"/>
      <c r="K22" s="73"/>
    </row>
    <row r="23" spans="1:15" x14ac:dyDescent="0.35">
      <c r="H23" s="4"/>
      <c r="I23" s="4"/>
      <c r="J23" s="4"/>
      <c r="K23" s="4"/>
      <c r="L23" s="4"/>
    </row>
    <row r="24" spans="1:15" ht="21" customHeight="1" x14ac:dyDescent="0.5">
      <c r="A24" s="381" t="s">
        <v>40</v>
      </c>
      <c r="B24" s="383" t="s">
        <v>41</v>
      </c>
      <c r="C24" s="384" t="s">
        <v>42</v>
      </c>
      <c r="D24" s="385"/>
      <c r="E24" s="377" t="s">
        <v>128</v>
      </c>
      <c r="F24" s="378"/>
      <c r="G24" s="378"/>
      <c r="H24" s="378"/>
      <c r="I24" s="357" t="s">
        <v>129</v>
      </c>
      <c r="J24" s="357"/>
      <c r="K24" s="357"/>
      <c r="L24" s="357"/>
    </row>
    <row r="25" spans="1:15" ht="15.5" x14ac:dyDescent="0.35">
      <c r="A25" s="382"/>
      <c r="B25" s="383"/>
      <c r="C25" s="386"/>
      <c r="D25" s="387"/>
      <c r="E25" s="74" t="s">
        <v>130</v>
      </c>
      <c r="F25" s="75" t="s">
        <v>131</v>
      </c>
      <c r="G25" s="74" t="s">
        <v>132</v>
      </c>
      <c r="H25" s="74" t="s">
        <v>133</v>
      </c>
      <c r="I25" s="74" t="s">
        <v>130</v>
      </c>
      <c r="J25" s="75" t="s">
        <v>131</v>
      </c>
      <c r="K25" s="74" t="s">
        <v>132</v>
      </c>
      <c r="L25" s="74" t="s">
        <v>133</v>
      </c>
    </row>
    <row r="26" spans="1:15" ht="15.5" x14ac:dyDescent="0.35">
      <c r="A26" s="396" t="s">
        <v>44</v>
      </c>
      <c r="B26" s="398" t="s">
        <v>45</v>
      </c>
      <c r="C26" s="76" t="s">
        <v>46</v>
      </c>
      <c r="D26" s="77"/>
      <c r="E26" s="78"/>
      <c r="F26" s="79" t="str">
        <f>IF(E26="","",IF(E26&lt;=55,1,(ROUND(IF(E26&lt;=68,'Reference Curves'!$E$15*E26+'Reference Curves'!$E$16,IF(E26&gt;75,'Reference Curves'!$C$15*E26+'Reference Curves'!$C$16,'Reference Curves'!$D$15*E26+'Reference Curves'!$D$16)),2))))</f>
        <v/>
      </c>
      <c r="G26" s="400" t="str">
        <f>IFERROR(AVERAGE(F26:F27),"")</f>
        <v/>
      </c>
      <c r="H26" s="400" t="str">
        <f>IFERROR(ROUND(AVERAGE(G26),2),"")</f>
        <v/>
      </c>
      <c r="I26" s="78"/>
      <c r="J26" s="79" t="str">
        <f>IF(I26="","",IF(I26&lt;=55,1,(ROUND(IF(I26&lt;=68,'Reference Curves'!$E$15*I26+'Reference Curves'!$E$16,IF(I26&gt;75,'Reference Curves'!$C$15*I26+'Reference Curves'!$C$16,'Reference Curves'!$D$15*I26+'Reference Curves'!$D$16)),2))))</f>
        <v/>
      </c>
      <c r="K26" s="400" t="str">
        <f>IFERROR(AVERAGE(J26:J27),"")</f>
        <v/>
      </c>
      <c r="L26" s="400" t="str">
        <f>IFERROR(ROUND(AVERAGE(K26),2),"")</f>
        <v/>
      </c>
      <c r="N26" s="80"/>
    </row>
    <row r="27" spans="1:15" ht="15.5" x14ac:dyDescent="0.35">
      <c r="A27" s="397"/>
      <c r="B27" s="399"/>
      <c r="C27" s="82" t="s">
        <v>48</v>
      </c>
      <c r="D27" s="83"/>
      <c r="E27" s="84"/>
      <c r="F27" s="85" t="str">
        <f>IF(E27="","",IF(E27&gt;=1,0,ROUND(IF(E27&lt;=0.6,'Reference Curves'!$C$50*E27+'Reference Curves'!$C$51,'Reference Curves'!$D$50*E27+'Reference Curves'!$D$51),2)))</f>
        <v/>
      </c>
      <c r="G27" s="401"/>
      <c r="H27" s="401"/>
      <c r="I27" s="84"/>
      <c r="J27" s="85" t="str">
        <f>IF(I27="","",IF(I27&gt;=1,0,ROUND(IF(I27&lt;=0.6,'Reference Curves'!$C$50*I27+'Reference Curves'!$C$51,'Reference Curves'!$D$50*I27+'Reference Curves'!$D$51),2)))</f>
        <v/>
      </c>
      <c r="K27" s="401"/>
      <c r="L27" s="401"/>
      <c r="N27" s="80"/>
      <c r="O27" s="80"/>
    </row>
    <row r="28" spans="1:15" ht="15.5" x14ac:dyDescent="0.35">
      <c r="A28" s="406" t="s">
        <v>49</v>
      </c>
      <c r="B28" s="408" t="s">
        <v>50</v>
      </c>
      <c r="C28" s="87" t="s">
        <v>51</v>
      </c>
      <c r="D28" s="87"/>
      <c r="E28" s="88"/>
      <c r="F28" s="89" t="str">
        <f>IF(E28="","",ROUND(IF(E28&gt;1.71,0,IF(E28&lt;=1,1,E28*'Reference Curves'!$L$14+'Reference Curves'!$L$15)),2))</f>
        <v/>
      </c>
      <c r="G28" s="389" t="str">
        <f>IFERROR(AVERAGE(F28:F29),"")</f>
        <v/>
      </c>
      <c r="H28" s="388" t="str">
        <f>IFERROR(ROUND(AVERAGE(G28:G29),2),"")</f>
        <v/>
      </c>
      <c r="I28" s="88"/>
      <c r="J28" s="89" t="str">
        <f>IF(I28="","",ROUND(IF(I28&gt;1.71,0,IF(I28&lt;=1,1,I28*'Reference Curves'!$L$14+'Reference Curves'!$L$15)),2))</f>
        <v/>
      </c>
      <c r="K28" s="389" t="str">
        <f>IFERROR(AVERAGE(J28:J29),"")</f>
        <v/>
      </c>
      <c r="L28" s="388" t="str">
        <f>IFERROR(ROUND(AVERAGE(K28:K29),2),"")</f>
        <v/>
      </c>
      <c r="N28" s="80"/>
      <c r="O28" s="80"/>
    </row>
    <row r="29" spans="1:15" ht="15.5" x14ac:dyDescent="0.35">
      <c r="A29" s="407"/>
      <c r="B29" s="409"/>
      <c r="C29" s="90" t="s">
        <v>52</v>
      </c>
      <c r="D29" s="90"/>
      <c r="E29" s="84"/>
      <c r="F29" s="91" t="str">
        <f>IF(E29="","",
IF(LEFT($C$11,1)="C",
ROUND(IF(E29&gt;=7.3,1,
IF(E29&lt;=1,0,
IF(E29&lt;=2.2, E29*'Reference Curves'!$L$49+'Reference Curves'!$L$50, E29*'Reference Curves'!$M$49+'Reference Curves'!$M$50))),2),
IF(LEFT($C$11,1)="B",
ROUND(IF(E29&gt;=2,1,
IF(E29&lt;=1,0,
IF(E29&lt;=1.4,E29*'Reference Curves'!$L$117+'Reference Curves'!$L$118,E29*'Reference Curves'!$M$117+'Reference Curves'!$M$118))),2),               IF(OR(LEFT($C$11,1)="E"), ROUND(IF(E29&gt;=10,1,
IF(E29&lt;=1,0,
IF(E29&lt;=2.2,  E29*'Reference Curves'!$L$82+'Reference Curves'!$L$83,
E29*'Reference Curves'!$M$82+'Reference Curves'!$M$83))),2)))))</f>
        <v/>
      </c>
      <c r="G29" s="410"/>
      <c r="H29" s="389"/>
      <c r="I29" s="84"/>
      <c r="J29" s="91" t="str">
        <f>IF(I29="","",
IF(LEFT($C$11,1)="C",
ROUND(IF(I29&gt;=7.3,1,
IF(I29&lt;=1,0,
IF(I29&lt;=2.2, I29*'Reference Curves'!$L$49+'Reference Curves'!$L$50, I29*'Reference Curves'!$M$49+'Reference Curves'!$M$50))),2),
IF(LEFT($C$11,1)="B",
ROUND(IF(I29&gt;=2,1,
IF(I29&lt;=1,0,
IF(I29&lt;=1.4,I29*'Reference Curves'!$L$117+'Reference Curves'!$L$118,I29*'Reference Curves'!$M$117+'Reference Curves'!$M$118))),2),               IF(OR(LEFT($C$11,1)="E"), ROUND(IF(I29&gt;=10,1,
IF(I29&lt;=1,0,
IF(I29&lt;=2.2,  I29*'Reference Curves'!$L$82+'Reference Curves'!$L$83,
I29*'Reference Curves'!$M$82+'Reference Curves'!$M$83))),2)))))</f>
        <v/>
      </c>
      <c r="K29" s="410"/>
      <c r="L29" s="389"/>
      <c r="N29" s="80"/>
      <c r="O29" s="80"/>
    </row>
    <row r="30" spans="1:15" ht="15.5" x14ac:dyDescent="0.35">
      <c r="A30" s="420" t="s">
        <v>54</v>
      </c>
      <c r="B30" s="92" t="s">
        <v>55</v>
      </c>
      <c r="C30" s="93" t="s">
        <v>56</v>
      </c>
      <c r="D30" s="94"/>
      <c r="E30" s="95"/>
      <c r="F30" s="96" t="str">
        <f>IF(E30="","",ROUND(IF(E30&gt;=731,1,IF(E30&lt;355,'Reference Curves'!$U$15*E30+'Reference Curves'!$U$16,'Reference Curves'!$V$15*E30+'Reference Curves'!$V$16)),2))</f>
        <v/>
      </c>
      <c r="G30" s="97" t="str">
        <f>IFERROR(AVERAGE(F30:F30),"")</f>
        <v/>
      </c>
      <c r="H30" s="390" t="str">
        <f>IFERROR(ROUND(AVERAGE(G30:G49),2),"")</f>
        <v/>
      </c>
      <c r="I30" s="95"/>
      <c r="J30" s="98" t="str">
        <f>IF(I30="","",ROUND(IF(I30&gt;=731,1,IF(I30&lt;355,'Reference Curves'!$U$15*I30+'Reference Curves'!$U$16,'Reference Curves'!$V$15*I30+'Reference Curves'!$V$16)),2))</f>
        <v/>
      </c>
      <c r="K30" s="99" t="str">
        <f>IFERROR(AVERAGE(J30:J30),"")</f>
        <v/>
      </c>
      <c r="L30" s="390" t="str">
        <f>IFERROR(ROUND(AVERAGE(K30:K49),2),"")</f>
        <v/>
      </c>
      <c r="N30" s="80"/>
      <c r="O30" s="80"/>
    </row>
    <row r="31" spans="1:15" ht="15.5" x14ac:dyDescent="0.35">
      <c r="A31" s="421"/>
      <c r="B31" s="405" t="s">
        <v>58</v>
      </c>
      <c r="C31" s="100" t="s">
        <v>59</v>
      </c>
      <c r="D31" s="100"/>
      <c r="E31" s="101"/>
      <c r="F31" s="102" t="str">
        <f>IF(E31="","",IF(OR(E31="Ex/VL",E31="VH/VL",E31="H/M",E31="H/L",E31="H/VL"),0.2, IF(OR(LEFT(E31,2)="Ex",E31="VH/Ex",E31="VH/VH", E31="VH/H"),0,IF(OR(E31="VH/M",E31="VH/L",E31="H/Ex", E31="H/VH", E31="H/H"),0.1, IF(OR(E31="M/Ex",E31="M/VH"),0.3, IF(E31="M/H",0.4, IF(E31="M/M",0.5, IF(OR(E31="M/L",E31="M/VL"),0.6, IF(E31="L/Ex",0.7, IF(OR(LEFT(E31,1)="L",LEFT(E31,2)="VL"),1))))))))))</f>
        <v/>
      </c>
      <c r="G31" s="390" t="str">
        <f>IFERROR(IF(E33&gt;=50,0,AVERAGE(F31:F33)),"")</f>
        <v/>
      </c>
      <c r="H31" s="391"/>
      <c r="I31" s="101"/>
      <c r="J31" s="102" t="str">
        <f>IF(I31="","",IF(OR(I31="Ex/VL",I31="VH/VL",I31="H/M",I31="H/L",I31="H/VL"),0.2, IF(OR(LEFT(I31,2)="Ex",I31="VH/Ex",I31="VH/VH", I31="VH/H"),0,IF(OR(I31="VH/M",I31="VH/L",I31="H/Ex", I31="H/VH", I31="H/H"),0.1, IF(OR(I31="M/Ex",I31="M/VH"),0.3, IF(I31="M/H",0.4, IF(I31="M/M",0.5, IF(OR(I31="M/L",I31="M/VL"),0.6, IF(I31="L/Ex",0.7, IF(OR(LEFT(I31,1)="L",LEFT(I31,2)="VL"),1))))))))))</f>
        <v/>
      </c>
      <c r="K31" s="435" t="str">
        <f>IFERROR(IF(I33&gt;=50,0,AVERAGE(J31:J33)),"")</f>
        <v/>
      </c>
      <c r="L31" s="391"/>
      <c r="N31" s="80"/>
      <c r="O31" s="80"/>
    </row>
    <row r="32" spans="1:15" ht="15.5" x14ac:dyDescent="0.35">
      <c r="A32" s="421"/>
      <c r="B32" s="405"/>
      <c r="C32" s="104" t="s">
        <v>60</v>
      </c>
      <c r="D32" s="100"/>
      <c r="E32" s="105"/>
      <c r="F32" s="102" t="str">
        <f>IF(E32="","",ROUND(IF(E32&gt;=50,0,IF(E32&lt;=5,1,IF(E32&gt;11,E32*'Reference Curves'!$U$117+'Reference Curves'!$U$118,E32*'Reference Curves'!$V$117+'Reference Curves'!$V$118))),2))</f>
        <v/>
      </c>
      <c r="G32" s="391"/>
      <c r="H32" s="391"/>
      <c r="I32" s="105"/>
      <c r="J32" s="102" t="str">
        <f>IF(I32="","",ROUND(IF(I32&gt;=50,0,IF(I32&lt;=5,1,IF(I32&gt;11,I32*'Reference Curves'!$U$117+'Reference Curves'!$U$118,I32*'Reference Curves'!$V$117+'Reference Curves'!$V$118))),2))</f>
        <v/>
      </c>
      <c r="K32" s="435"/>
      <c r="L32" s="391"/>
      <c r="N32" s="80"/>
      <c r="O32" s="80"/>
    </row>
    <row r="33" spans="1:15" ht="15.5" x14ac:dyDescent="0.35">
      <c r="A33" s="421"/>
      <c r="B33" s="434"/>
      <c r="C33" s="106" t="s">
        <v>61</v>
      </c>
      <c r="D33" s="106"/>
      <c r="E33" s="107"/>
      <c r="F33" s="108" t="str">
        <f>IF(E33="","",IF(E33=0,1,ROUND(IF(E33&gt;=30,0,E33*'Reference Curves'!$U$149+'Reference Curves'!$U$150),2)))</f>
        <v/>
      </c>
      <c r="G33" s="392"/>
      <c r="H33" s="391"/>
      <c r="I33" s="107"/>
      <c r="J33" s="108" t="str">
        <f>IF(I33="","",IF(I33=0,1,ROUND(IF(I33&gt;=30,0,I33*'Reference Curves'!$U$149+'Reference Curves'!$U$150),2)))</f>
        <v/>
      </c>
      <c r="K33" s="435"/>
      <c r="L33" s="391"/>
      <c r="N33" s="80"/>
      <c r="O33" s="80"/>
    </row>
    <row r="34" spans="1:15" ht="15.5" x14ac:dyDescent="0.35">
      <c r="A34" s="421"/>
      <c r="B34" s="402" t="s">
        <v>62</v>
      </c>
      <c r="C34" s="109" t="s">
        <v>134</v>
      </c>
      <c r="D34" s="110"/>
      <c r="E34" s="111"/>
      <c r="F34" s="112" t="str">
        <f>IF(E34="","",IF(E34=0,0,ROUND(IF(OR($C$12="Colluvial",$C$12="Confined alluvial"),IF(E34&gt;=50,1,IF(E34&lt;50,E34*'Reference Curves'!$V$183+'Reference Curves'!$V$184,E34*'Reference Curves'!$U$183+'Reference Curves'!$U$184)),IF($C$12="Unconfined Alluvial",IF(E34&gt;=100,1,IF(E34&gt;34,E34*'Reference Curves'!$V$217+'Reference Curves'!$V$218,E34*'Reference Curves'!$U$217+'Reference Curves'!$U$218)))),2)))</f>
        <v/>
      </c>
      <c r="G34" s="390" t="str">
        <f>IFERROR(AVERAGE(F34:F41),"")</f>
        <v/>
      </c>
      <c r="H34" s="391"/>
      <c r="I34" s="111"/>
      <c r="J34" s="112" t="str">
        <f>IF(I34="","",IF(I34=0,0,ROUND(IF(OR($C$12="Colluvial",$C$12="Confined alluvial"),IF(I34&gt;=50,1,IF(I34&lt;50,I34*'Reference Curves'!$V$183+'Reference Curves'!$V$184,I34*'Reference Curves'!$U$183+'Reference Curves'!$U$184)),IF($C$12="Unconfined Alluvial",IF(I34&gt;=100,1,IF(I34&lt;100,I34*'Reference Curves'!$V$217+'Reference Curves'!$V$218,I34*'Reference Curves'!$U$217+'Reference Curves'!$U$218)))),2)))</f>
        <v/>
      </c>
      <c r="K34" s="390" t="str">
        <f>IFERROR(AVERAGE(J34:J41),"")</f>
        <v/>
      </c>
      <c r="L34" s="391"/>
      <c r="N34" s="80"/>
      <c r="O34" s="80"/>
    </row>
    <row r="35" spans="1:15" ht="15.5" x14ac:dyDescent="0.35">
      <c r="A35" s="421"/>
      <c r="B35" s="403"/>
      <c r="C35" s="104" t="s">
        <v>135</v>
      </c>
      <c r="D35" s="113"/>
      <c r="E35" s="114"/>
      <c r="F35" s="112" t="str">
        <f>IF(E35="","",IF(E35=0,0,ROUND(IF(OR($C$12="Colluvial",$C$12="Confined alluvial"),IF(E35&gt;=50,1,IF(E35&lt;50,E35*'Reference Curves'!$V$183+'Reference Curves'!$V$184,E35*'Reference Curves'!$U$183+'Reference Curves'!$U$184)),IF($C$12="Unconfined Alluvial",IF(E35&gt;=100,1,IF(E35&gt;34,E35*'Reference Curves'!$V$217+'Reference Curves'!$V$218,E35*'Reference Curves'!$U$217+'Reference Curves'!$U$218)))),2)))</f>
        <v/>
      </c>
      <c r="G35" s="391"/>
      <c r="H35" s="391"/>
      <c r="I35" s="114"/>
      <c r="J35" s="112" t="str">
        <f>IF(I35="","",IF(I35=0,0,ROUND(IF(OR($C$12="Colluvial",$C$12="Confined alluvial"),IF(I35&gt;=50,1,IF(I35&lt;50,I35*'Reference Curves'!$V$183+'Reference Curves'!$V$184,I35*'Reference Curves'!$U$183+'Reference Curves'!$U$184)),IF($C$12="Unconfined Alluvial",IF(I35&gt;=100,1,IF(I35&lt;100,I35*'Reference Curves'!$V$217+'Reference Curves'!$V$218,I35*'Reference Curves'!$U$217+'Reference Curves'!$U$218)))),2)))</f>
        <v/>
      </c>
      <c r="K35" s="391"/>
      <c r="L35" s="391"/>
      <c r="N35" s="80"/>
      <c r="O35" s="80"/>
    </row>
    <row r="36" spans="1:15" ht="15.5" x14ac:dyDescent="0.35">
      <c r="A36" s="421"/>
      <c r="B36" s="403"/>
      <c r="C36" s="104" t="s">
        <v>136</v>
      </c>
      <c r="D36" s="113"/>
      <c r="E36" s="114"/>
      <c r="F36" s="115" t="str">
        <f>IF(E36="","",IF(E36&gt;=120,1,ROUND(IF(E36&gt;=55,'Reference Curves'!$U$956*E36+'Reference Curves'!$U$957,'Reference Curves'!$V$956*E36+'Reference Curves'!$V$957),2)))</f>
        <v/>
      </c>
      <c r="G36" s="391"/>
      <c r="H36" s="391"/>
      <c r="I36" s="114"/>
      <c r="J36" s="115" t="str">
        <f>IF(I36="","",IF(I36&gt;=120,1,ROUND(IF(I36&gt;=55,'Reference Curves'!$U$956*I36+'Reference Curves'!$U$957,'Reference Curves'!$V$956*I36+'Reference Curves'!$V$957),2)))</f>
        <v/>
      </c>
      <c r="K36" s="391"/>
      <c r="L36" s="391"/>
      <c r="N36" s="80"/>
      <c r="O36" s="80"/>
    </row>
    <row r="37" spans="1:15" ht="15.5" x14ac:dyDescent="0.35">
      <c r="A37" s="421"/>
      <c r="B37" s="403"/>
      <c r="C37" s="104" t="s">
        <v>137</v>
      </c>
      <c r="D37" s="113"/>
      <c r="E37" s="114"/>
      <c r="F37" s="115" t="str">
        <f>IF(E37="","",IF(E37&gt;=120,1,ROUND(IF(E37&gt;=55,'Reference Curves'!$U$956*E37+'Reference Curves'!$U$957,'Reference Curves'!$V$956*E37+'Reference Curves'!$V$957),2)))</f>
        <v/>
      </c>
      <c r="G37" s="391"/>
      <c r="H37" s="391"/>
      <c r="I37" s="114"/>
      <c r="J37" s="115" t="str">
        <f>IF(I37="","",IF(I37&gt;=120,1,ROUND(IF(I37&gt;=55,'Reference Curves'!$U$956*I37+'Reference Curves'!$U$957,'Reference Curves'!$V$956*I37+'Reference Curves'!$V$957),2)))</f>
        <v/>
      </c>
      <c r="K37" s="391"/>
      <c r="L37" s="391"/>
      <c r="N37" s="80"/>
      <c r="O37" s="80"/>
    </row>
    <row r="38" spans="1:15" ht="15.5" x14ac:dyDescent="0.35">
      <c r="A38" s="421"/>
      <c r="B38" s="403"/>
      <c r="C38" s="104" t="s">
        <v>146</v>
      </c>
      <c r="D38" s="113"/>
      <c r="E38" s="114"/>
      <c r="F38" s="112" t="str">
        <f>IF(E38="","",ROUND(IF(AND(E38&gt;=250,E38&lt;=330),1,IF(E38&gt;=366,0.5,IF(E38&lt;250,E38*'[1]Reference Curves'!$U$283+'[1]Reference Curves'!$U$284,E38*'[1]Reference Curves'!$V$283+'[1]Reference Curves'!$V$284))),2))</f>
        <v/>
      </c>
      <c r="G38" s="391"/>
      <c r="H38" s="391"/>
      <c r="I38" s="114"/>
      <c r="J38" s="112" t="str">
        <f>IF(I38="","",ROUND(IF(AND(I38&gt;=250,I38&lt;=330),1,IF(I38&gt;=366,0.5,IF(I38&lt;250,I38*'[1]Reference Curves'!$U$283+'[1]Reference Curves'!$U$284,I38*'[1]Reference Curves'!$V$283+'[1]Reference Curves'!$V$284))),2))</f>
        <v/>
      </c>
      <c r="K38" s="391"/>
      <c r="L38" s="391"/>
      <c r="N38" s="80"/>
      <c r="O38" s="80"/>
    </row>
    <row r="39" spans="1:15" ht="15.5" x14ac:dyDescent="0.35">
      <c r="A39" s="421"/>
      <c r="B39" s="403"/>
      <c r="C39" s="104" t="s">
        <v>147</v>
      </c>
      <c r="D39" s="113"/>
      <c r="E39" s="114"/>
      <c r="F39" s="112" t="str">
        <f>IF(E39="","",ROUND(IF(AND(E39&gt;=250,E39&lt;=330),1,IF(E39&gt;=366,0.5,IF(E39&lt;250,E39*'[1]Reference Curves'!$U$283+'[1]Reference Curves'!$U$284,E39*'[1]Reference Curves'!$V$283+'[1]Reference Curves'!$V$284))),2))</f>
        <v/>
      </c>
      <c r="G39" s="391"/>
      <c r="H39" s="391"/>
      <c r="I39" s="114"/>
      <c r="J39" s="112" t="str">
        <f>IF(I39="","",ROUND(IF(AND(I39&gt;=250,I39&lt;=330),1,IF(I39&gt;=366,0.5,IF(I39&lt;250,I39*'[1]Reference Curves'!$U$283+'[1]Reference Curves'!$U$284,I39*'[1]Reference Curves'!$V$283+'[1]Reference Curves'!$V$284))),2))</f>
        <v/>
      </c>
      <c r="K39" s="391"/>
      <c r="L39" s="391"/>
      <c r="N39" s="80"/>
      <c r="O39" s="80"/>
    </row>
    <row r="40" spans="1:15" ht="15.5" x14ac:dyDescent="0.35">
      <c r="A40" s="421"/>
      <c r="B40" s="403"/>
      <c r="C40" s="104" t="s">
        <v>138</v>
      </c>
      <c r="D40" s="113"/>
      <c r="E40" s="116"/>
      <c r="F40" s="112" t="str">
        <f>IF(E40="","",ROUND(IF(E40=0,1,IF(E40&gt;=50,0,'Reference Curves'!$U$318*E40+'Reference Curves'!$U$319)),2))</f>
        <v/>
      </c>
      <c r="G40" s="391"/>
      <c r="H40" s="391"/>
      <c r="I40" s="116"/>
      <c r="J40" s="112" t="str">
        <f>IF(I40="","",ROUND(IF(I40=0,1,IF(I40&gt;=50,0,'Reference Curves'!$U$318*I40+'Reference Curves'!$U$319)),2))</f>
        <v/>
      </c>
      <c r="K40" s="391"/>
      <c r="L40" s="391"/>
      <c r="N40" s="80"/>
      <c r="O40" s="80"/>
    </row>
    <row r="41" spans="1:15" ht="15.5" x14ac:dyDescent="0.35">
      <c r="A41" s="421"/>
      <c r="B41" s="403"/>
      <c r="C41" s="104" t="s">
        <v>139</v>
      </c>
      <c r="D41" s="113"/>
      <c r="E41" s="116"/>
      <c r="F41" s="112" t="str">
        <f>IF(E41="","",ROUND(IF(E41=0,1,IF(E41&gt;=50,0,'Reference Curves'!$U$318*E41+'Reference Curves'!$U$319)),2))</f>
        <v/>
      </c>
      <c r="G41" s="391"/>
      <c r="H41" s="391"/>
      <c r="I41" s="116"/>
      <c r="J41" s="112" t="str">
        <f>IF(I41="","",ROUND(IF(I41=0,1,IF(I41&gt;=50,0,'Reference Curves'!$U$318*I41+'Reference Curves'!$U$319)),2))</f>
        <v/>
      </c>
      <c r="K41" s="391"/>
      <c r="L41" s="391"/>
      <c r="N41" s="80"/>
      <c r="O41" s="80"/>
    </row>
    <row r="42" spans="1:15" ht="15.5" x14ac:dyDescent="0.35">
      <c r="A42" s="421"/>
      <c r="B42" s="404" t="s">
        <v>69</v>
      </c>
      <c r="C42" s="118" t="s">
        <v>70</v>
      </c>
      <c r="D42" s="110"/>
      <c r="E42" s="78"/>
      <c r="F42" s="119" t="str">
        <f>IF(E42="","",IF($C$11="Bc", ROUND(IF(E42&lt;=5,1,IF(E42&gt;=8,0, E42^2*'Reference Curves'!$U$420+E42*'Reference Curves'!$U$421+'Reference Curves'!$U$422) ),2),
IF(LEFT($C$11,1)="B",ROUND(IF(E42&lt;=4,1,IF(E42&gt;=6.5,0, E42^2*'Reference Curves'!$U$388+E42*'Reference Curves'!$U$389+'Reference Curves'!$U$390) ),2),
IF(OR(LEFT($C$11,1)="E",LEFT($C$11,1)="C"),ROUND(IF(OR(E42&gt;=9,E42&lt;=1),0, IF(AND(E42&gt;=3.5,E42&lt;=6),1, IF(E42&lt;3.5,E42*'Reference Curves'!$U$454+'Reference Curves'!$U$455,E42*'Reference Curves'!$V$454+'Reference Curves'!$V$455 )) ),2)))  ))</f>
        <v/>
      </c>
      <c r="G42" s="390" t="str">
        <f>IFERROR(AVERAGE(F42:F44),"")</f>
        <v/>
      </c>
      <c r="H42" s="391"/>
      <c r="I42" s="78"/>
      <c r="J42" s="119" t="str">
        <f>IF(I42="","",IF($C$11="Bc", ROUND(IF(I42&lt;=5,1,IF(I42&gt;=8,0, I42^2*'Reference Curves'!$U$420+I42*'Reference Curves'!$U$421+'Reference Curves'!$U$422) ),2),
IF(LEFT($C$11,1)="B",ROUND(IF(I42&lt;=4,1,IF(I42&gt;=6.5,0, I42^2*'Reference Curves'!$U$388+I42*'Reference Curves'!$U$389+'Reference Curves'!$U$390) ),2),
IF(OR(LEFT($C$11,1)="E",LEFT($C$11,1)="C"),ROUND(IF(OR(I42&gt;=9,I42&lt;=1),0, IF(AND(I42&gt;=3.5,I42&lt;=6),1, IF(I42&lt;3.5,I42*'Reference Curves'!$U$454+'Reference Curves'!$U$455,I42*'Reference Curves'!$V$454+'Reference Curves'!$V$455 )) ),2)))  ))</f>
        <v/>
      </c>
      <c r="K42" s="390" t="str">
        <f>IFERROR(AVERAGE(J42:J44),"")</f>
        <v/>
      </c>
      <c r="L42" s="391"/>
      <c r="N42" s="80"/>
      <c r="O42" s="80"/>
    </row>
    <row r="43" spans="1:15" ht="15.5" x14ac:dyDescent="0.35">
      <c r="A43" s="421"/>
      <c r="B43" s="405"/>
      <c r="C43" s="100" t="s">
        <v>71</v>
      </c>
      <c r="D43" s="113"/>
      <c r="E43" s="88"/>
      <c r="F43" s="112" t="str">
        <f>IF(E43="","",IF(LEFT($C$11,1)="A",
IF(E43&gt;=1.7,1,
IF(E43&lt;=1,0,
ROUND(IF(E43&lt;=1.1,E43*'Reference Curves'!$U$489+'Reference Curves'!$U$490,
(IF(E43&gt;=1.4,E43*'Reference Curves'!$W$489+'Reference Curves'!$W$490,
E43*'Reference Curves'!$V$489+'Reference Curves'!$V$490))),2))),
IF(LEFT($C$11,1)="B",
IF(E43&gt;=2.9,1,
IF(E43&lt;=1,0,
ROUND(IF(E43&lt;=2,E43*'Reference Curves'!$U$522+'Reference Curves'!$U$523,
(IF(E43&gt;=2.3,E43*'Reference Curves'!$W$522+'Reference Curves'!$W$523,
E43*'Reference Curves'!$V$522+'Reference Curves'!$V$523))),2))),IF(LEFT($C$11,1)="C",
IF(E43&gt;=2.3,1,
IF(E43&lt;=1,0,
ROUND(IF(E43&lt;=1.2,E43*'Reference Curves'!$V$554+'Reference Curves'!$V$555,
(E43^2)*'Reference Curves'!$U$554+E43*'Reference Curves'!$U$555+'Reference Curves'!$U$556),2))),IF(LEFT($C$11,1)="E",IF(E43&gt;=2.1,1,
IF(E43&lt;=1,0,
ROUND(IF(E43&lt;=1.7,E43^2*'Reference Curves'!$U$589+E43*'Reference Curves'!$U$590+'Reference Curves'!$U$591,
E43*'Reference Curves'!$V$589+'Reference Curves'!$V$590),2))))))))</f>
        <v/>
      </c>
      <c r="G43" s="391"/>
      <c r="H43" s="391"/>
      <c r="I43" s="88"/>
      <c r="J43" s="112" t="str">
        <f>IF(I43="","",IF(LEFT($C$11,1)="A",
IF(I43&gt;=1.7,1,
IF(I43&lt;=1,0,
ROUND(IF(I43&lt;=1.1,I43*'Reference Curves'!$U$489+'Reference Curves'!$U$490,
(IF(I43&gt;=1.4,I43*'Reference Curves'!$W$489+'Reference Curves'!$W$490,
I43*'Reference Curves'!$V$489+'Reference Curves'!$V$490))),2))),
IF(LEFT($C$11,1)="B",
IF(I43&gt;=2.9,1,
IF(I43&lt;=1,0,
ROUND(IF(I43&lt;=2,I43*'Reference Curves'!$U$522+'Reference Curves'!$U$523,
(IF(I43&gt;=2.3,I43*'Reference Curves'!$W$522+'Reference Curves'!$W$523,
I43*'Reference Curves'!$V$522+'Reference Curves'!$V$523))),2))),IF(LEFT($C$11,1)="C",
IF(I43&gt;=2.3,1,
IF(I43&lt;=1,0,
ROUND(IF(I43&lt;=1.2,I43*'Reference Curves'!$V$554+'Reference Curves'!$V$555,
(I43^2)*'Reference Curves'!$U$554+I43*'Reference Curves'!$U$555+'Reference Curves'!$U$556),2))),IF(LEFT($C$11,1)="E",IF(I43&gt;=2.1,1,
IF(I43&lt;=1,0,
ROUND(IF(I43&lt;=1.7,I43^2*'Reference Curves'!$U$589+I43*'Reference Curves'!$U$590+'Reference Curves'!$U$591,
I43*'Reference Curves'!$V$589+'Reference Curves'!$V$590),2))))))))</f>
        <v/>
      </c>
      <c r="K43" s="391"/>
      <c r="L43" s="391"/>
      <c r="N43" s="80"/>
      <c r="O43" s="80"/>
    </row>
    <row r="44" spans="1:15" ht="15.5" x14ac:dyDescent="0.35">
      <c r="A44" s="421"/>
      <c r="B44" s="405"/>
      <c r="C44" s="100" t="s">
        <v>72</v>
      </c>
      <c r="D44" s="113"/>
      <c r="E44" s="88"/>
      <c r="F44" s="115" t="str">
        <f>IF(E44="","",IF(OR(LEFT($C$11,1)="F",LEFT($C$11,1)="G",LEFT($C$11,1)="D"),"FALSE",
IF(LEFT($C$11,1)="A",
ROUND(IF(OR(E44&gt;=100,E44&lt;=0),0,IF(E44&lt;=54,E44*'Reference Curves'!$U$623+'Reference Curves'!$U$624,
IF(E44&gt;=62,E44*'Reference Curves'!$V$623+'Reference Curves'!$V$624,1))),2),IF(LEFT($C$11,1)="B",
ROUND(IF(OR(E44&gt;=100,E44&lt;=0),0,IF(E44&lt;=53,E44*'Reference Curves'!$U$657+'Reference Curves'!$U$658,
IF(E44&gt;=61,E44*'Reference Curves'!$V$657+'Reference Curves'!$V$658,1))),2),
IF(LEFT($C$11,1)="C",
ROUND(IF(OR(E44&gt;=100,E44&lt;=0),0,
IF(E44&lt;45,E44*'Reference Curves'!$U$692+'Reference Curves'!$U$693,
IF(E44&gt;=64,E44*'Reference Curves'!$V$692+'Reference Curves'!$V$693,1))),2),
IF(LEFT($C$11,1)="E",
ROUND(IF(OR(E44&gt;=100,E44&lt;=0),0,
IF(E44&lt;43,E44*'Reference Curves'!$U$726+'Reference Curves'!$U$727,
IF(E44&gt;=63,E44*'Reference Curves'!$V$726+'Reference Curves'!$V$727,1))),2),))))))</f>
        <v/>
      </c>
      <c r="G44" s="392"/>
      <c r="H44" s="391"/>
      <c r="I44" s="88"/>
      <c r="J44" s="115" t="str">
        <f>IF(I44="","",IF(OR(LEFT($C$11,1)="F",LEFT($C$11,1)="G",LEFT($C$11,1)="D"),"FALSE",
IF(LEFT($C$11,1)="A",
ROUND(IF(OR(I44&gt;=100,I44&lt;=0),0,IF(I44&lt;=54,I44*'Reference Curves'!$U$623+'Reference Curves'!$U$624,
IF(I44&gt;=62,I44*'Reference Curves'!$V$623+'Reference Curves'!$V$624,1))),2),IF(LEFT($C$11,1)="B",
ROUND(IF(OR(I44&gt;=100,I44&lt;=0),0,IF(I44&lt;=53,I44*'Reference Curves'!$U$657+'Reference Curves'!$U$658,
IF(I44&gt;=61,I44*'Reference Curves'!$V$657+'Reference Curves'!$V$658,1))),2),
IF(LEFT($C$11,1)="C",
ROUND(IF(OR(I44&gt;=100,I44&lt;=0),0,
IF(I44&lt;45,I44*'Reference Curves'!$U$692+'Reference Curves'!$U$693,
IF(I44&gt;=64,I44*'Reference Curves'!$V$692+'Reference Curves'!$V$693,1))),2),
IF(LEFT($C$11,1)="E",
ROUND(IF(OR(I44&gt;=100,I44&lt;=0),0,
IF(I44&lt;43,I44*'Reference Curves'!$U$726+'Reference Curves'!$U$727,
IF(I44&gt;=63,I44*'Reference Curves'!$V$726+'Reference Curves'!$V$727,1))),2),))))))</f>
        <v/>
      </c>
      <c r="K44" s="392"/>
      <c r="L44" s="391"/>
      <c r="N44" s="80"/>
      <c r="O44" s="80"/>
    </row>
    <row r="45" spans="1:15" ht="15.5" x14ac:dyDescent="0.35">
      <c r="A45" s="421"/>
      <c r="B45" s="393" t="s">
        <v>140</v>
      </c>
      <c r="C45" s="109" t="s">
        <v>74</v>
      </c>
      <c r="D45" s="110"/>
      <c r="E45" s="111"/>
      <c r="F45" s="120" t="str">
        <f>IF(E45="","",
ROUND(IF(E45&gt;=35,0,
IF(E45&lt;=12,1,
IF(E45&lt;=20,E45*'Reference Curves'!U758+'Reference Curves'!U759,
IF(E45&lt;=25,E45*'Reference Curves'!V758+'Reference Curves'!V759,
E45*'Reference Curves'!W758+'Reference Curves'!W759)))),2))</f>
        <v/>
      </c>
      <c r="G45" s="390" t="str">
        <f>IFERROR(AVERAGE(F45:F49),"")</f>
        <v/>
      </c>
      <c r="H45" s="391"/>
      <c r="I45" s="111"/>
      <c r="J45" s="120" t="str">
        <f>IF(I45="","",
ROUND(IF(I45&gt;=35,0,
IF(I45&lt;=12,1,
IF(I45&lt;=20,I45*'Reference Curves'!U758+'Reference Curves'!U759,
IF(I45&lt;=25,I45*'Reference Curves'!V758+'Reference Curves'!V759,
I45*'Reference Curves'!W758+'Reference Curves'!W759)))),2))</f>
        <v/>
      </c>
      <c r="K45" s="390" t="str">
        <f>IFERROR(AVERAGE(J45:J49),"")</f>
        <v/>
      </c>
      <c r="L45" s="391"/>
      <c r="N45" s="80"/>
      <c r="O45" s="80"/>
    </row>
    <row r="46" spans="1:15" ht="15.5" x14ac:dyDescent="0.35">
      <c r="A46" s="421"/>
      <c r="B46" s="394"/>
      <c r="C46" s="100" t="s">
        <v>75</v>
      </c>
      <c r="D46" s="100"/>
      <c r="E46" s="88"/>
      <c r="F46" s="115" t="str">
        <f xml:space="preserve"> IF(E46="","",IF(E46&gt;50,0,IF(E46&lt;=15,1,     ROUND(IF(E46&lt;=20,'Reference Curves'!$U$789*E46+'Reference Curves'!$U$790,IF(E46&gt;25,'Reference Curves'!$V$789*E46+'Reference Curves'!$V$790,'Reference Curves'!W758*E46+'Reference Curves'!W759)),2))))</f>
        <v/>
      </c>
      <c r="G46" s="391"/>
      <c r="H46" s="391"/>
      <c r="I46" s="88"/>
      <c r="J46" s="115" t="str">
        <f xml:space="preserve"> IF(I46="","",IF(I46&lt;=15,1,     ROUND(IF(I46&lt;=20,'Reference Curves'!$U$789*I46+'Reference Curves'!$U$790,'Reference Curves'!$V$789*I46+'Reference Curves'!$V$790),2)))</f>
        <v/>
      </c>
      <c r="K46" s="391"/>
      <c r="L46" s="391"/>
      <c r="N46" s="80"/>
      <c r="O46" s="80"/>
    </row>
    <row r="47" spans="1:15" ht="15.5" x14ac:dyDescent="0.35">
      <c r="A47" s="421"/>
      <c r="B47" s="394"/>
      <c r="C47" s="100" t="s">
        <v>76</v>
      </c>
      <c r="D47" s="100"/>
      <c r="E47" s="88"/>
      <c r="F47" s="115" t="str">
        <f>IF(E47="","",IF(E47&lt;=20,0,IF(E47&gt;=125,1,ROUND(IF(E47&gt;=60,'Reference Curves'!$U$888*E47+'Reference Curves'!$U$889,'Reference Curves'!$V$888*E47+'Reference Curves'!$V$889),2))))</f>
        <v/>
      </c>
      <c r="G47" s="391"/>
      <c r="H47" s="391"/>
      <c r="I47" s="88"/>
      <c r="J47" s="115" t="str">
        <f>IF(I47="","",IF(I47&lt;=20,0,IF(I47&gt;=125,1,ROUND(IF(I47&gt;=60,'Reference Curves'!$U$888*I47+'Reference Curves'!$U$889,'Reference Curves'!$V$888*I47+'Reference Curves'!$V$889),2))))</f>
        <v/>
      </c>
      <c r="K47" s="391"/>
      <c r="L47" s="391"/>
      <c r="N47" s="80"/>
      <c r="O47" s="80"/>
    </row>
    <row r="48" spans="1:15" ht="15.5" x14ac:dyDescent="0.35">
      <c r="A48" s="421"/>
      <c r="B48" s="394"/>
      <c r="C48" s="104" t="s">
        <v>77</v>
      </c>
      <c r="D48" s="113"/>
      <c r="E48" s="114"/>
      <c r="F48" s="115" t="str">
        <f xml:space="preserve"> IF(E48="","",IF(E48&lt;=1,0,IF(E48&gt;=30,1,ROUND('Reference Curves'!$U$822*E48-'Reference Curves'!$U$823,2))))</f>
        <v/>
      </c>
      <c r="G48" s="391"/>
      <c r="H48" s="391"/>
      <c r="I48" s="114"/>
      <c r="J48" s="115" t="str">
        <f xml:space="preserve"> IF(I48="","",IF(I48&lt;=1,0,IF(I48&gt;=30,1,ROUND('Reference Curves'!$U$822*I48-'Reference Curves'!$U$823,2))))</f>
        <v/>
      </c>
      <c r="K48" s="391"/>
      <c r="L48" s="391"/>
      <c r="N48" s="80"/>
      <c r="O48" s="80"/>
    </row>
    <row r="49" spans="1:15" ht="15.5" x14ac:dyDescent="0.35">
      <c r="A49" s="422"/>
      <c r="B49" s="395"/>
      <c r="C49" s="121" t="s">
        <v>78</v>
      </c>
      <c r="D49" s="122"/>
      <c r="E49" s="123"/>
      <c r="F49" s="124" t="str">
        <f xml:space="preserve"> IF(E49="","",IF(E49&lt;=1,0,IF(E49&gt;=14,1,ROUND('Reference Curves'!$U$855*E49-'Reference Curves'!$U$856,2))))</f>
        <v/>
      </c>
      <c r="G49" s="392"/>
      <c r="H49" s="391"/>
      <c r="I49" s="123"/>
      <c r="J49" s="124" t="str">
        <f xml:space="preserve"> IF(I49="","",IF(I49&lt;=1,0,IF(I49&gt;=14,1,ROUND('Reference Curves'!$U$855*I49-'Reference Curves'!$U$856,2))))</f>
        <v/>
      </c>
      <c r="K49" s="392"/>
      <c r="L49" s="392"/>
      <c r="N49" s="80"/>
      <c r="O49" s="80"/>
    </row>
    <row r="50" spans="1:15" ht="15.5" x14ac:dyDescent="0.35">
      <c r="A50" s="417" t="s">
        <v>79</v>
      </c>
      <c r="B50" s="125" t="s">
        <v>80</v>
      </c>
      <c r="C50" s="126" t="s">
        <v>81</v>
      </c>
      <c r="D50" s="126"/>
      <c r="E50" s="95"/>
      <c r="F50" s="127" t="str">
        <f>IF(E50="","",IF($C$19="Coldwater",IF(E50&gt;=77,0,IF(E50&lt;58.1,1,ROUND(E50*'Reference Curves'!$AD$16+'Reference Curves'!$AD$17,2))),IF($C$19="Coolwater",IF(E50&gt;97,0,IF(E50&lt;67,1,ROUND(E50*'Reference Curves'!$AE$16+'Reference Curves'!$AE$17,2))))))</f>
        <v/>
      </c>
      <c r="G50" s="128" t="str">
        <f>IFERROR(AVERAGE(F50),"")</f>
        <v/>
      </c>
      <c r="H50" s="419" t="str">
        <f>IFERROR(ROUND(AVERAGE(G50:G52),2),"")</f>
        <v/>
      </c>
      <c r="I50" s="95"/>
      <c r="J50" s="127" t="str">
        <f>IF(I50="","",IF($C$19="Coldwater",IF(I50&gt;=77,0,IF(I50&lt;58.1,1,ROUND(I50*'Reference Curves'!$AD$16+'Reference Curves'!$AD$17,2))),IF($C$19="Coolwater",IF(I50&gt;97,0,IF(I50&lt;67,1,ROUND(I50*'Reference Curves'!$AE$16+'Reference Curves'!$AE$17,2))))))</f>
        <v/>
      </c>
      <c r="K50" s="128" t="str">
        <f>IFERROR(AVERAGE(J50),"")</f>
        <v/>
      </c>
      <c r="L50" s="419" t="str">
        <f>IFERROR(ROUND(AVERAGE(K50:K52),2),"")</f>
        <v/>
      </c>
      <c r="N50" s="80"/>
      <c r="O50" s="80"/>
    </row>
    <row r="51" spans="1:15" ht="15.5" x14ac:dyDescent="0.35">
      <c r="A51" s="418"/>
      <c r="B51" s="125" t="s">
        <v>83</v>
      </c>
      <c r="C51" s="130" t="s">
        <v>84</v>
      </c>
      <c r="D51" s="130"/>
      <c r="E51" s="88"/>
      <c r="F51" s="131" t="str">
        <f>IF(E51="","",ROUND(IF(E51&gt;=268.98,0,IF(E51&lt;=39,1,E51*'Reference Curves'!$AD$49+'Reference Curves'!$AD$50)),2))</f>
        <v/>
      </c>
      <c r="G51" s="128" t="str">
        <f>IFERROR(AVERAGE(F51),"")</f>
        <v/>
      </c>
      <c r="H51" s="419"/>
      <c r="I51" s="88"/>
      <c r="J51" s="131" t="str">
        <f>IF(I51="","",ROUND(IF(I51&gt;=268.98,0,IF(I51&lt;=39,1,I51*'Reference Curves'!$AD$49+'Reference Curves'!$AD$50)),2))</f>
        <v/>
      </c>
      <c r="K51" s="128" t="str">
        <f>IFERROR(AVERAGE(J51),"")</f>
        <v/>
      </c>
      <c r="L51" s="419"/>
      <c r="O51" s="80"/>
    </row>
    <row r="52" spans="1:15" ht="15.5" x14ac:dyDescent="0.35">
      <c r="A52" s="418"/>
      <c r="B52" s="132" t="s">
        <v>85</v>
      </c>
      <c r="C52" s="126" t="s">
        <v>86</v>
      </c>
      <c r="D52" s="126"/>
      <c r="E52" s="95"/>
      <c r="F52" s="133" t="str">
        <f>IF(E52="","",IF($C$6 = "Mountains", IF($C$13 &lt;=5,
IF( $C$20= "Winter/Spring", ROUND(IF(E52&gt;=23,1,E52*'Reference Curves'!$AD$121+'Reference Curves'!$AD$122),2),
IF($C$20= "Summer", ROUND(IF(E52&gt;=21,1,E52*'Reference Curves'!$AE$121),2),
IF($C$20= "Fall", ROUND(IF(E52&gt;=18,1,E52*'Reference Curves'!$AF$121),2)))),
IF($C$13&lt;10, IF($C$20= "Winter/Spring", ROUND(IF(E52&gt;16,1,E52*'Reference Curves'!$AD$155),2),
IF($C$20= "Summer",ROUND(IF(E52&gt;14,1,E52*'Reference Curves'!$AE$155),2),
IF($C$20= "Fall",ROUND(IF(E52&gt;12,1,E52*'Reference Curves'!$AF$155),2)))),
IF($C$20= "Winter/Spring", ROUND(IF(E52&gt;14,1,E52*'Reference Curves'!$AD$189),2),
IF($C$20= "Summer",ROUND(IF(E52&gt;16,1,E52*'Reference Curves'!$AE$189),2),
IF($C$20= "Fall",ROUND(IF(E52&gt;15,1,E52*'Reference Curves'!$AF$189),2)))))),
IF($C$6 = "Piedmont",  IF($C$13 &lt;=5,
IF( $C$20= "Winter/Spring", ROUND(IF(E52&gt;=18,1,E52*'Reference Curves'!$AD$223),2),
IF($C$20= "Summer", ROUND(IF(E52&gt;=12,1,E52*'Reference Curves'!$AE$223),2),
IF($C$20= "Fall", ROUND(IF(E52&gt;=14,1,E52*'Reference Curves'!$AF$223),2)))),
IF($C$13&lt;10, IF($C$20= "Winter/Spring", ROUND(IF(E52&gt;12,1,E52*'Reference Curves'!$AD$259),2),
IF($C$20= "Summer",ROUND(IF(E52&gt;5,1,E52*'Reference Curves'!$AE$259),2),
IF($C$20= "Fall",ROUND(IF(E52&gt;8,1,E52*'Reference Curves'!$AF$259),2)))),
IF($C$20= "Winter/Spring", ROUND(IF(E52&gt;8,1,E52*'Reference Curves'!$AD$293),2),
IF($C$20= "Summer",ROUND(IF(E52&gt;7,1,E52*'Reference Curves'!$AE$293),2),
 IF($C$20= "Fall",ROUND(IF(E52&gt;8,1,E52*'Reference Curves'!$AF$293),2)))))),
IF($C$6 = "Coastal Plain", IF($C$13 &lt;=5,
IF( $C$20= "Winter/Spring", ROUND(IF(E52&gt;=33,1,E52*'Reference Curves'!$AD$325),2),
IF($C$20= "Summer", ROUND(IF(E52&gt;=14,1,E52*'Reference Curves'!$AE$325),2),
IF($C$20= "Fall", ROUND(IF(E52&gt;=25,1,E52*'Reference Curves'!$AF$325),2)))),
IF($C$13&lt;10, IF($C$20= "Winter/Spring", ROUND(IF(E52&gt;20,1,E52*'Reference Curves'!$AD$357),2),
IF($C$20= "Summer",ROUND(IF(E52&gt;13,1,E52*'Reference Curves'!$AE$357),2),
IF($C$20= "Fall",ROUND(IF(E52&gt;12,1,E52*'Reference Curves'!$AF$357),2)))),
IF($C$20= "Winter/Spring", ROUND(IF(E52&gt;17,1,E52*'Reference Curves'!$AD$391),2),
IF($C$20= "Summer",ROUND(IF(E52&gt;16,1,E52*'Reference Curves'!$AE$391),2),
IF($C$20= "Fall",ROUND(IF(E52&gt;8,1,E52*'Reference Curves'!$AF$391),2))))))))))</f>
        <v/>
      </c>
      <c r="G52" s="129"/>
      <c r="H52" s="419"/>
      <c r="I52" s="95"/>
      <c r="J52" s="133" t="str">
        <f>IF(I52="","",IF($C$6 = "Mountains", IF($C$13 &lt;=5,
IF( $C$20= "Winter/Spring", ROUND(IF(I52&gt;=23,1,I52*'Reference Curves'!$AD$121+'Reference Curves'!$AD$122),2),
IF($C$20= "Summer", ROUND(IF(I52&gt;=21,1,I52*'Reference Curves'!$AE$121),2),
IF($C$20= "Fall", ROUND(IF(I52&gt;=18,1,I52*'Reference Curves'!$AF$121),2)))),
IF($C$13&lt;10, IF($C$20= "Winter/Spring", ROUND(IF(I52&gt;16,1,I52*'Reference Curves'!$AD$155),2),
IF($C$20= "Summer",ROUND(IF(I52&gt;14,1,I52*'Reference Curves'!$AE$155),2),
IF($C$20= "Fall",ROUND(IF(I52&gt;12,1,I52*'Reference Curves'!$AF$155),2)))),
IF($C$20= "Winter/Spring", ROUND(IF(I52&gt;14,1,I52*'Reference Curves'!$AD$189),2),
IF($C$20= "Summer",ROUND(IF(I52&gt;16,1,I52*'Reference Curves'!$AE$189),2),
IF($C$20= "Fall",ROUND(IF(I52&gt;15,1,I52*'Reference Curves'!$AF$189),2)))))),
IF($C$6 = "Piedmont",  IF($C$13 &lt;=5,
IF( $C$20= "Winter/Spring", ROUND(IF(I52&gt;=18,1,I52*'Reference Curves'!$AD$223),2),
IF($C$20= "Summer", ROUND(IF(I52&gt;=12,1,I52*'Reference Curves'!$AE$223),2),
IF($C$20= "Fall", ROUND(IF(I52&gt;=14,1,I52*'Reference Curves'!$AF$223),2)))),
IF($C$13&lt;10, IF($C$20= "Winter/Spring", ROUND(IF(I52&gt;12,1,I52*'Reference Curves'!$AD$259),2),
IF($C$20= "Summer",ROUND(IF(I52&gt;5,1,I52*'Reference Curves'!$AE$259),2),
IF($C$20= "Fall",ROUND(IF(I52&gt;8,1,I52*'Reference Curves'!$AF$259),2)))),
IF($C$20= "Winter/Spring", ROUND(IF(I52&gt;8,1,I52*'Reference Curves'!$AD$293),2),
IF($C$20= "Summer",ROUND(IF(I52&gt;7,1,I52*'Reference Curves'!$AE$293),2),
 IF($C$20= "Fall",ROUND(IF(I52&gt;8,1,I52*'Reference Curves'!$AF$293),2)))))),
IF($C$6 = "Coastal Plain", IF($C$13 &lt;=5,
IF( $C$20= "Winter/Spring", ROUND(IF(I52&gt;=33,1,I52*'Reference Curves'!$AD$325),2),
IF($C$20= "Summer", ROUND(IF(I52&gt;=14,1,I52*'Reference Curves'!$AE$325),2),
IF($C$20= "Fall", ROUND(IF(I52&gt;=25,1,I52*'Reference Curves'!$AF$325),2)))),
IF($C$13&lt;10, IF($C$20= "Winter/Spring", ROUND(IF(I52&gt;20,1,I52*'Reference Curves'!$AD$357),2),
IF($C$20= "Summer",ROUND(IF(I52&gt;13,1,I52*'Reference Curves'!$AE$357),2),
IF($C$20= "Fall",ROUND(IF(I52&gt;12,1,I52*'Reference Curves'!$AF$357),2)))),
IF($C$20= "Winter/Spring", ROUND(IF(I52&gt;17,1,I52*'Reference Curves'!$AD$391),2),
IF($C$20= "Summer",ROUND(IF(I52&gt;16,1,I52*'Reference Curves'!$AE$391),2),
IF($C$20= "Fall",ROUND(IF(I52&gt;8,1,I52*'Reference Curves'!$AF$391),2))))))))))</f>
        <v/>
      </c>
      <c r="K52" s="129"/>
      <c r="L52" s="419"/>
      <c r="O52" s="80"/>
    </row>
    <row r="53" spans="1:15" ht="15.5" x14ac:dyDescent="0.35">
      <c r="A53" s="414" t="s">
        <v>87</v>
      </c>
      <c r="B53" s="134" t="s">
        <v>417</v>
      </c>
      <c r="C53" s="282" t="s">
        <v>416</v>
      </c>
      <c r="D53" s="283"/>
      <c r="E53" s="95"/>
      <c r="F53" s="284" t="str">
        <f>IF(E53="","",(IF(E53&lt;=25,E53*'Reference Curves'!$AO$495+'Reference Curves'!$AO$496,IF(E53&gt;75,E53*'Reference Curves'!$AM$495+'Reference Curves'!$AM$496,E53*'Reference Curves'!$AN$495+'Reference Curves'!$AN$496))))</f>
        <v/>
      </c>
      <c r="G53" s="280" t="str">
        <f>F53</f>
        <v/>
      </c>
      <c r="H53" s="411" t="str">
        <f>IFERROR(ROUND(AVERAGE(G53:G54),2),"")</f>
        <v/>
      </c>
      <c r="I53" s="95"/>
      <c r="J53" s="284" t="str">
        <f>IF(I53="","",(IF(I53&lt;=25,I53*'Reference Curves'!$AO$495+'Reference Curves'!$AO$496,IF(I53&gt;75,I53*'Reference Curves'!$AM$495+'Reference Curves'!$AM$496,I53*'Reference Curves'!$AN$495+'Reference Curves'!$AN$496))))</f>
        <v/>
      </c>
      <c r="K53" s="280" t="str">
        <f>J53</f>
        <v/>
      </c>
      <c r="L53" s="411" t="str">
        <f>IFERROR(ROUND(AVERAGE(K53:K54),2),"")</f>
        <v/>
      </c>
      <c r="O53" s="80"/>
    </row>
    <row r="54" spans="1:15" ht="15.65" customHeight="1" x14ac:dyDescent="0.35">
      <c r="A54" s="415"/>
      <c r="B54" s="429" t="s">
        <v>88</v>
      </c>
      <c r="C54" s="429" t="s">
        <v>89</v>
      </c>
      <c r="D54" s="429"/>
      <c r="E54" s="527"/>
      <c r="F54" s="430" t="str">
        <f>IF(E54="Larva, Juvenile, or Subadult",1,IF(E54="Absent",0,IF(E54="&gt; 1 Adult",0.66,IF(E54="1 Adult",0.33,IF(E54="Eggs",0.66,"")))))</f>
        <v/>
      </c>
      <c r="G54" s="431" t="str">
        <f>IFERROR(AVERAGE(F54),"")</f>
        <v/>
      </c>
      <c r="H54" s="413"/>
      <c r="I54" s="527"/>
      <c r="J54" s="432" t="str">
        <f>IF(I54="Larva, Juvenile, or Subadult",1,IF(I54="Absent",0,IF(I54="&gt; 1 Adult",0.66,IF(I54="1 Adult",0.33,IF(I54="Eggs",0.66,"")))))</f>
        <v/>
      </c>
      <c r="K54" s="411" t="str">
        <f>IFERROR(AVERAGE(J54),"")</f>
        <v/>
      </c>
      <c r="L54" s="413"/>
    </row>
    <row r="55" spans="1:15" ht="15.65" customHeight="1" x14ac:dyDescent="0.35">
      <c r="A55" s="416"/>
      <c r="B55" s="429"/>
      <c r="C55" s="429"/>
      <c r="D55" s="429"/>
      <c r="E55" s="527"/>
      <c r="F55" s="430"/>
      <c r="G55" s="431"/>
      <c r="H55" s="412"/>
      <c r="I55" s="527"/>
      <c r="J55" s="433"/>
      <c r="K55" s="412"/>
      <c r="L55" s="412"/>
    </row>
    <row r="56" spans="1:15" x14ac:dyDescent="0.35">
      <c r="E56" s="80"/>
      <c r="F56" s="80"/>
      <c r="I56" s="4"/>
      <c r="J56" s="80"/>
      <c r="K56" s="4"/>
    </row>
    <row r="57" spans="1:15" ht="21" x14ac:dyDescent="0.5">
      <c r="A57" s="423" t="s">
        <v>141</v>
      </c>
      <c r="B57" s="424"/>
      <c r="C57" s="135"/>
      <c r="D57" s="136" t="s">
        <v>142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pans="1:15" ht="17" customHeight="1" x14ac:dyDescent="0.5">
      <c r="A58" s="383" t="s">
        <v>40</v>
      </c>
      <c r="B58" s="383" t="s">
        <v>41</v>
      </c>
      <c r="C58" s="138"/>
      <c r="D58" s="139" t="s">
        <v>143</v>
      </c>
      <c r="E58" s="137" t="s">
        <v>144</v>
      </c>
      <c r="F58" s="137">
        <v>5</v>
      </c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15" ht="19.5" customHeight="1" x14ac:dyDescent="0.35">
      <c r="A59" s="383"/>
      <c r="B59" s="383"/>
      <c r="C59" s="425" t="s">
        <v>42</v>
      </c>
      <c r="D59" s="426"/>
      <c r="E59" s="427"/>
      <c r="F59" s="384"/>
      <c r="G59" s="426"/>
      <c r="H59" s="426"/>
      <c r="I59" s="426"/>
      <c r="J59" s="426"/>
      <c r="K59" s="426"/>
      <c r="L59" s="426"/>
      <c r="M59" s="426"/>
      <c r="N59" s="426"/>
      <c r="O59" s="428"/>
    </row>
    <row r="60" spans="1:15" ht="15.5" x14ac:dyDescent="0.35">
      <c r="A60" s="436" t="s">
        <v>44</v>
      </c>
      <c r="B60" s="437" t="s">
        <v>45</v>
      </c>
      <c r="C60" s="76" t="s">
        <v>46</v>
      </c>
      <c r="D60" s="285"/>
      <c r="E60" s="78"/>
      <c r="F60" s="78" t="str">
        <f>IF('SQT_5-Year'!I26="","",'SQT_5-Year'!I26)</f>
        <v/>
      </c>
      <c r="G60" s="111"/>
      <c r="H60" s="78"/>
      <c r="I60" s="78"/>
      <c r="J60" s="78"/>
      <c r="K60" s="78"/>
      <c r="L60" s="78"/>
      <c r="M60" s="78"/>
      <c r="N60" s="78"/>
      <c r="O60" s="78"/>
    </row>
    <row r="61" spans="1:15" ht="15.5" x14ac:dyDescent="0.35">
      <c r="A61" s="397"/>
      <c r="B61" s="438"/>
      <c r="C61" s="82" t="s">
        <v>48</v>
      </c>
      <c r="D61" s="286"/>
      <c r="E61" s="84"/>
      <c r="F61" s="84" t="str">
        <f>IF('SQT_5-Year'!I27="","",'SQT_5-Year'!I27)</f>
        <v/>
      </c>
      <c r="G61" s="123"/>
      <c r="H61" s="84"/>
      <c r="I61" s="84"/>
      <c r="J61" s="84"/>
      <c r="K61" s="84"/>
      <c r="L61" s="84"/>
      <c r="M61" s="84"/>
      <c r="N61" s="84"/>
      <c r="O61" s="84"/>
    </row>
    <row r="62" spans="1:15" ht="15.5" x14ac:dyDescent="0.35">
      <c r="A62" s="406" t="s">
        <v>49</v>
      </c>
      <c r="B62" s="408" t="s">
        <v>50</v>
      </c>
      <c r="C62" s="87" t="s">
        <v>51</v>
      </c>
      <c r="D62" s="287"/>
      <c r="E62" s="88"/>
      <c r="F62" s="78" t="str">
        <f>IF('SQT_5-Year'!I28="","",'SQT_5-Year'!I28)</f>
        <v/>
      </c>
      <c r="G62" s="114"/>
      <c r="H62" s="88"/>
      <c r="I62" s="88"/>
      <c r="J62" s="88"/>
      <c r="K62" s="88"/>
      <c r="L62" s="88"/>
      <c r="M62" s="88"/>
      <c r="N62" s="88"/>
      <c r="O62" s="88"/>
    </row>
    <row r="63" spans="1:15" ht="15.5" x14ac:dyDescent="0.35">
      <c r="A63" s="407"/>
      <c r="B63" s="409"/>
      <c r="C63" s="90" t="s">
        <v>52</v>
      </c>
      <c r="D63" s="288"/>
      <c r="E63" s="84"/>
      <c r="F63" s="84" t="str">
        <f>IF('SQT_5-Year'!I29="","",'SQT_5-Year'!I29)</f>
        <v/>
      </c>
      <c r="G63" s="123"/>
      <c r="H63" s="84"/>
      <c r="I63" s="84"/>
      <c r="J63" s="84"/>
      <c r="K63" s="84"/>
      <c r="L63" s="84"/>
      <c r="M63" s="84"/>
      <c r="N63" s="84"/>
      <c r="O63" s="84"/>
    </row>
    <row r="64" spans="1:15" ht="15.5" x14ac:dyDescent="0.35">
      <c r="A64" s="420" t="s">
        <v>54</v>
      </c>
      <c r="B64" s="92" t="s">
        <v>55</v>
      </c>
      <c r="C64" s="93" t="s">
        <v>56</v>
      </c>
      <c r="D64" s="94"/>
      <c r="E64" s="95"/>
      <c r="F64" s="95" t="str">
        <f>IF('SQT_5-Year'!I30="","",'SQT_5-Year'!I30)</f>
        <v/>
      </c>
      <c r="G64" s="277"/>
      <c r="H64" s="95"/>
      <c r="I64" s="95"/>
      <c r="J64" s="95"/>
      <c r="K64" s="95"/>
      <c r="L64" s="95"/>
      <c r="M64" s="95"/>
      <c r="N64" s="95"/>
      <c r="O64" s="95"/>
    </row>
    <row r="65" spans="1:15" ht="15.5" x14ac:dyDescent="0.35">
      <c r="A65" s="421"/>
      <c r="B65" s="404" t="s">
        <v>58</v>
      </c>
      <c r="C65" s="100" t="s">
        <v>59</v>
      </c>
      <c r="D65" s="113"/>
      <c r="E65" s="101"/>
      <c r="F65" s="279" t="str">
        <f>IF('SQT_5-Year'!I31="","",'SQT_5-Year'!I31)</f>
        <v/>
      </c>
      <c r="G65" s="278"/>
      <c r="H65" s="101"/>
      <c r="I65" s="101"/>
      <c r="J65" s="101"/>
      <c r="K65" s="101"/>
      <c r="L65" s="101"/>
      <c r="M65" s="101"/>
      <c r="N65" s="101"/>
      <c r="O65" s="101"/>
    </row>
    <row r="66" spans="1:15" ht="15.5" x14ac:dyDescent="0.35">
      <c r="A66" s="421"/>
      <c r="B66" s="405"/>
      <c r="C66" s="104" t="s">
        <v>60</v>
      </c>
      <c r="D66" s="113"/>
      <c r="E66" s="105"/>
      <c r="F66" s="88" t="str">
        <f>IF('SQT_5-Year'!I32="","",'SQT_5-Year'!I32)</f>
        <v/>
      </c>
      <c r="G66" s="114"/>
      <c r="H66" s="88"/>
      <c r="I66" s="88"/>
      <c r="J66" s="88"/>
      <c r="K66" s="88"/>
      <c r="L66" s="88"/>
      <c r="M66" s="88"/>
      <c r="N66" s="88"/>
      <c r="O66" s="88"/>
    </row>
    <row r="67" spans="1:15" ht="15.5" x14ac:dyDescent="0.35">
      <c r="A67" s="421"/>
      <c r="B67" s="434"/>
      <c r="C67" s="106" t="s">
        <v>61</v>
      </c>
      <c r="D67" s="289"/>
      <c r="E67" s="107"/>
      <c r="F67" s="84" t="str">
        <f>IF('SQT_5-Year'!I33="","",'SQT_5-Year'!I33)</f>
        <v/>
      </c>
      <c r="G67" s="123"/>
      <c r="H67" s="84"/>
      <c r="I67" s="84"/>
      <c r="J67" s="84"/>
      <c r="K67" s="84"/>
      <c r="L67" s="84"/>
      <c r="M67" s="84"/>
      <c r="N67" s="84"/>
      <c r="O67" s="84"/>
    </row>
    <row r="68" spans="1:15" ht="15.5" x14ac:dyDescent="0.35">
      <c r="A68" s="421"/>
      <c r="B68" s="404" t="s">
        <v>62</v>
      </c>
      <c r="C68" s="109" t="s">
        <v>134</v>
      </c>
      <c r="D68" s="110"/>
      <c r="E68" s="111"/>
      <c r="F68" s="78" t="str">
        <f>IF('SQT_5-Year'!I34="","",'SQT_5-Year'!I34)</f>
        <v/>
      </c>
      <c r="G68" s="111"/>
      <c r="H68" s="78"/>
      <c r="I68" s="78"/>
      <c r="J68" s="78"/>
      <c r="K68" s="78"/>
      <c r="L68" s="78"/>
      <c r="M68" s="78"/>
      <c r="N68" s="78"/>
      <c r="O68" s="78"/>
    </row>
    <row r="69" spans="1:15" ht="15.5" x14ac:dyDescent="0.35">
      <c r="A69" s="421"/>
      <c r="B69" s="405"/>
      <c r="C69" s="104" t="s">
        <v>135</v>
      </c>
      <c r="D69" s="113"/>
      <c r="E69" s="114"/>
      <c r="F69" s="88" t="str">
        <f>IF('SQT_5-Year'!I35="","",'SQT_5-Year'!I35)</f>
        <v/>
      </c>
      <c r="G69" s="114"/>
      <c r="H69" s="88"/>
      <c r="I69" s="88"/>
      <c r="J69" s="88"/>
      <c r="K69" s="88"/>
      <c r="L69" s="88"/>
      <c r="M69" s="88"/>
      <c r="N69" s="88"/>
      <c r="O69" s="88"/>
    </row>
    <row r="70" spans="1:15" ht="15.5" x14ac:dyDescent="0.35">
      <c r="A70" s="421"/>
      <c r="B70" s="405"/>
      <c r="C70" s="104" t="s">
        <v>145</v>
      </c>
      <c r="D70" s="113"/>
      <c r="E70" s="114"/>
      <c r="F70" s="88" t="str">
        <f>IF('SQT_5-Year'!I36="","",'SQT_5-Year'!I36)</f>
        <v/>
      </c>
      <c r="G70" s="114"/>
      <c r="H70" s="88"/>
      <c r="I70" s="88"/>
      <c r="J70" s="88"/>
      <c r="K70" s="88"/>
      <c r="L70" s="88"/>
      <c r="M70" s="88"/>
      <c r="N70" s="88"/>
      <c r="O70" s="88"/>
    </row>
    <row r="71" spans="1:15" ht="15.5" x14ac:dyDescent="0.35">
      <c r="A71" s="421"/>
      <c r="B71" s="405"/>
      <c r="C71" s="104" t="s">
        <v>145</v>
      </c>
      <c r="D71" s="113"/>
      <c r="E71" s="114"/>
      <c r="F71" s="88" t="str">
        <f>IF('SQT_5-Year'!I37="","",'SQT_5-Year'!I37)</f>
        <v/>
      </c>
      <c r="G71" s="114"/>
      <c r="H71" s="88"/>
      <c r="I71" s="88"/>
      <c r="J71" s="88"/>
      <c r="K71" s="88"/>
      <c r="L71" s="88"/>
      <c r="M71" s="88"/>
      <c r="N71" s="88"/>
      <c r="O71" s="88"/>
    </row>
    <row r="72" spans="1:15" ht="15.5" x14ac:dyDescent="0.35">
      <c r="A72" s="421"/>
      <c r="B72" s="405"/>
      <c r="C72" s="104" t="s">
        <v>146</v>
      </c>
      <c r="D72" s="113"/>
      <c r="E72" s="114"/>
      <c r="F72" s="88" t="str">
        <f>IF('SQT_5-Year'!I38="","",'SQT_5-Year'!I38)</f>
        <v/>
      </c>
      <c r="G72" s="114"/>
      <c r="H72" s="88"/>
      <c r="I72" s="88"/>
      <c r="J72" s="88"/>
      <c r="K72" s="88"/>
      <c r="L72" s="88"/>
      <c r="M72" s="88"/>
      <c r="N72" s="88"/>
      <c r="O72" s="88"/>
    </row>
    <row r="73" spans="1:15" ht="15.5" x14ac:dyDescent="0.35">
      <c r="A73" s="421"/>
      <c r="B73" s="405"/>
      <c r="C73" s="104" t="s">
        <v>147</v>
      </c>
      <c r="D73" s="113"/>
      <c r="E73" s="114"/>
      <c r="F73" s="88" t="str">
        <f>IF('SQT_5-Year'!I39="","",'SQT_5-Year'!I39)</f>
        <v/>
      </c>
      <c r="G73" s="114"/>
      <c r="H73" s="88"/>
      <c r="I73" s="88"/>
      <c r="J73" s="88"/>
      <c r="K73" s="88"/>
      <c r="L73" s="88"/>
      <c r="M73" s="88"/>
      <c r="N73" s="88"/>
      <c r="O73" s="88"/>
    </row>
    <row r="74" spans="1:15" ht="15.5" x14ac:dyDescent="0.35">
      <c r="A74" s="421"/>
      <c r="B74" s="405"/>
      <c r="C74" s="104" t="s">
        <v>138</v>
      </c>
      <c r="D74" s="113"/>
      <c r="E74" s="116"/>
      <c r="F74" s="88" t="str">
        <f>IF('SQT_5-Year'!I40="","",'SQT_5-Year'!I40)</f>
        <v/>
      </c>
      <c r="G74" s="114"/>
      <c r="H74" s="88"/>
      <c r="I74" s="88"/>
      <c r="J74" s="88"/>
      <c r="K74" s="88"/>
      <c r="L74" s="88"/>
      <c r="M74" s="88"/>
      <c r="N74" s="88"/>
      <c r="O74" s="88"/>
    </row>
    <row r="75" spans="1:15" ht="15.5" x14ac:dyDescent="0.35">
      <c r="A75" s="421"/>
      <c r="B75" s="405"/>
      <c r="C75" s="104" t="s">
        <v>139</v>
      </c>
      <c r="D75" s="113"/>
      <c r="E75" s="116"/>
      <c r="F75" s="84" t="str">
        <f>IF('SQT_5-Year'!I41="","",'SQT_5-Year'!I41)</f>
        <v/>
      </c>
      <c r="G75" s="114"/>
      <c r="H75" s="88"/>
      <c r="I75" s="88"/>
      <c r="J75" s="88"/>
      <c r="K75" s="88"/>
      <c r="L75" s="88"/>
      <c r="M75" s="88"/>
      <c r="N75" s="88"/>
      <c r="O75" s="88"/>
    </row>
    <row r="76" spans="1:15" ht="15.5" x14ac:dyDescent="0.35">
      <c r="A76" s="421"/>
      <c r="B76" s="404" t="s">
        <v>69</v>
      </c>
      <c r="C76" s="109" t="s">
        <v>70</v>
      </c>
      <c r="D76" s="110"/>
      <c r="E76" s="78"/>
      <c r="F76" s="78" t="str">
        <f>IF('SQT_5-Year'!I42="","",'SQT_5-Year'!I42)</f>
        <v/>
      </c>
      <c r="G76" s="111"/>
      <c r="H76" s="78"/>
      <c r="I76" s="78"/>
      <c r="J76" s="78"/>
      <c r="K76" s="78"/>
      <c r="L76" s="78"/>
      <c r="M76" s="78"/>
      <c r="N76" s="78"/>
      <c r="O76" s="78"/>
    </row>
    <row r="77" spans="1:15" ht="15.5" x14ac:dyDescent="0.35">
      <c r="A77" s="421"/>
      <c r="B77" s="405"/>
      <c r="C77" s="100" t="s">
        <v>71</v>
      </c>
      <c r="D77" s="113"/>
      <c r="E77" s="88"/>
      <c r="F77" s="88" t="str">
        <f>IF('SQT_5-Year'!I43="","",'SQT_5-Year'!I43)</f>
        <v/>
      </c>
      <c r="G77" s="114"/>
      <c r="H77" s="88"/>
      <c r="I77" s="88"/>
      <c r="J77" s="88"/>
      <c r="K77" s="88"/>
      <c r="L77" s="88"/>
      <c r="M77" s="88"/>
      <c r="N77" s="88"/>
      <c r="O77" s="88"/>
    </row>
    <row r="78" spans="1:15" ht="15.5" x14ac:dyDescent="0.35">
      <c r="A78" s="421"/>
      <c r="B78" s="405"/>
      <c r="C78" s="104" t="s">
        <v>72</v>
      </c>
      <c r="D78" s="113"/>
      <c r="E78" s="88"/>
      <c r="F78" s="84" t="str">
        <f>IF('SQT_5-Year'!I44="","",'SQT_5-Year'!I44)</f>
        <v/>
      </c>
      <c r="G78" s="114"/>
      <c r="H78" s="88"/>
      <c r="I78" s="88"/>
      <c r="J78" s="88"/>
      <c r="K78" s="88"/>
      <c r="L78" s="88"/>
      <c r="M78" s="88"/>
      <c r="N78" s="88"/>
      <c r="O78" s="88"/>
    </row>
    <row r="79" spans="1:15" ht="15.5" x14ac:dyDescent="0.35">
      <c r="A79" s="291"/>
      <c r="B79" s="393" t="s">
        <v>73</v>
      </c>
      <c r="C79" s="109" t="s">
        <v>74</v>
      </c>
      <c r="D79" s="110"/>
      <c r="E79" s="111"/>
      <c r="F79" s="78" t="str">
        <f>IF('SQT_5-Year'!I45="","",'SQT_5-Year'!I45)</f>
        <v/>
      </c>
      <c r="G79" s="111"/>
      <c r="H79" s="78"/>
      <c r="I79" s="78"/>
      <c r="J79" s="78"/>
      <c r="K79" s="78"/>
      <c r="L79" s="78"/>
      <c r="M79" s="78"/>
      <c r="N79" s="78"/>
      <c r="O79" s="78"/>
    </row>
    <row r="80" spans="1:15" ht="15.5" x14ac:dyDescent="0.35">
      <c r="A80" s="291"/>
      <c r="B80" s="394"/>
      <c r="C80" s="100" t="s">
        <v>148</v>
      </c>
      <c r="D80" s="113"/>
      <c r="E80" s="88"/>
      <c r="F80" s="88" t="str">
        <f>IF('SQT_5-Year'!I46="","",'SQT_5-Year'!I46)</f>
        <v/>
      </c>
      <c r="G80" s="114"/>
      <c r="H80" s="88"/>
      <c r="I80" s="88"/>
      <c r="J80" s="88"/>
      <c r="K80" s="88"/>
      <c r="L80" s="88"/>
      <c r="M80" s="88"/>
      <c r="N80" s="88"/>
      <c r="O80" s="88"/>
    </row>
    <row r="81" spans="1:15" ht="15.5" x14ac:dyDescent="0.35">
      <c r="A81" s="291"/>
      <c r="B81" s="394"/>
      <c r="C81" s="100" t="s">
        <v>76</v>
      </c>
      <c r="D81" s="113"/>
      <c r="E81" s="88"/>
      <c r="F81" s="88" t="str">
        <f>IF('SQT_5-Year'!I47="","",'SQT_5-Year'!I47)</f>
        <v/>
      </c>
      <c r="G81" s="114"/>
      <c r="H81" s="88"/>
      <c r="I81" s="88"/>
      <c r="J81" s="88"/>
      <c r="K81" s="88"/>
      <c r="L81" s="88"/>
      <c r="M81" s="88"/>
      <c r="N81" s="88"/>
      <c r="O81" s="88"/>
    </row>
    <row r="82" spans="1:15" ht="15.5" x14ac:dyDescent="0.35">
      <c r="A82" s="291"/>
      <c r="B82" s="394"/>
      <c r="C82" s="100" t="s">
        <v>77</v>
      </c>
      <c r="D82" s="113"/>
      <c r="E82" s="114"/>
      <c r="F82" s="88" t="str">
        <f>IF('SQT_5-Year'!I48="","",'SQT_5-Year'!I48)</f>
        <v/>
      </c>
      <c r="G82" s="114"/>
      <c r="H82" s="88"/>
      <c r="I82" s="88"/>
      <c r="J82" s="88"/>
      <c r="K82" s="88"/>
      <c r="L82" s="88"/>
      <c r="M82" s="88"/>
      <c r="N82" s="88"/>
      <c r="O82" s="88"/>
    </row>
    <row r="83" spans="1:15" ht="15.5" x14ac:dyDescent="0.35">
      <c r="A83" s="291"/>
      <c r="B83" s="395"/>
      <c r="C83" s="121" t="s">
        <v>78</v>
      </c>
      <c r="D83" s="122"/>
      <c r="E83" s="123"/>
      <c r="F83" s="84" t="str">
        <f>IF('SQT_5-Year'!I49="","",'SQT_5-Year'!I49)</f>
        <v/>
      </c>
      <c r="G83" s="123"/>
      <c r="H83" s="84"/>
      <c r="I83" s="84"/>
      <c r="J83" s="84"/>
      <c r="K83" s="84"/>
      <c r="L83" s="84"/>
      <c r="M83" s="84"/>
      <c r="N83" s="84"/>
      <c r="O83" s="84"/>
    </row>
    <row r="84" spans="1:15" ht="15.5" x14ac:dyDescent="0.35">
      <c r="A84" s="417" t="s">
        <v>79</v>
      </c>
      <c r="B84" s="132" t="s">
        <v>80</v>
      </c>
      <c r="C84" s="126" t="s">
        <v>81</v>
      </c>
      <c r="D84" s="142"/>
      <c r="E84" s="95"/>
      <c r="F84" s="95" t="str">
        <f>IF('SQT_5-Year'!I50="","",'SQT_5-Year'!I50)</f>
        <v/>
      </c>
      <c r="G84" s="277"/>
      <c r="H84" s="95"/>
      <c r="I84" s="95"/>
      <c r="J84" s="95"/>
      <c r="K84" s="95"/>
      <c r="L84" s="95"/>
      <c r="M84" s="95"/>
      <c r="N84" s="95"/>
      <c r="O84" s="95"/>
    </row>
    <row r="85" spans="1:15" ht="15.5" x14ac:dyDescent="0.35">
      <c r="A85" s="418"/>
      <c r="B85" s="125" t="s">
        <v>83</v>
      </c>
      <c r="C85" s="141" t="s">
        <v>84</v>
      </c>
      <c r="D85" s="142"/>
      <c r="E85" s="88"/>
      <c r="F85" s="95" t="str">
        <f>IF('SQT_5-Year'!I51="","",'SQT_5-Year'!I51)</f>
        <v/>
      </c>
      <c r="G85" s="277"/>
      <c r="H85" s="95"/>
      <c r="I85" s="95"/>
      <c r="J85" s="95"/>
      <c r="K85" s="95"/>
      <c r="L85" s="95"/>
      <c r="M85" s="95"/>
      <c r="N85" s="95"/>
      <c r="O85" s="95"/>
    </row>
    <row r="86" spans="1:15" ht="15.5" x14ac:dyDescent="0.35">
      <c r="A86" s="418"/>
      <c r="B86" s="132" t="s">
        <v>85</v>
      </c>
      <c r="C86" s="126" t="s">
        <v>86</v>
      </c>
      <c r="D86" s="292"/>
      <c r="E86" s="95"/>
      <c r="F86" s="95" t="str">
        <f>IF('SQT_5-Year'!I52="","",'SQT_5-Year'!I52)</f>
        <v/>
      </c>
      <c r="G86" s="123"/>
      <c r="H86" s="84"/>
      <c r="I86" s="84"/>
      <c r="J86" s="84"/>
      <c r="K86" s="84"/>
      <c r="L86" s="84"/>
      <c r="M86" s="84"/>
      <c r="N86" s="84"/>
      <c r="O86" s="84"/>
    </row>
    <row r="87" spans="1:15" ht="15.5" x14ac:dyDescent="0.35">
      <c r="A87" s="451" t="s">
        <v>87</v>
      </c>
      <c r="B87" s="290" t="s">
        <v>417</v>
      </c>
      <c r="C87" s="454" t="s">
        <v>416</v>
      </c>
      <c r="D87" s="455"/>
      <c r="E87" s="95"/>
      <c r="F87" s="95" t="str">
        <f>IF('SQT_5-Year'!I53="","",'SQT_5-Year'!I53)</f>
        <v/>
      </c>
      <c r="G87" s="123"/>
      <c r="H87" s="84"/>
      <c r="I87" s="84"/>
      <c r="J87" s="84"/>
      <c r="K87" s="84"/>
      <c r="L87" s="84"/>
      <c r="M87" s="84"/>
      <c r="N87" s="84"/>
      <c r="O87" s="84"/>
    </row>
    <row r="88" spans="1:15" s="145" customFormat="1" ht="15.65" customHeight="1" x14ac:dyDescent="0.35">
      <c r="A88" s="452"/>
      <c r="B88" s="443" t="s">
        <v>88</v>
      </c>
      <c r="C88" s="439" t="s">
        <v>89</v>
      </c>
      <c r="D88" s="440"/>
      <c r="E88" s="528"/>
      <c r="F88" s="529" t="str">
        <f>IF('SQT_5-Year'!I54="","",'SQT_5-Year'!I54)</f>
        <v/>
      </c>
      <c r="G88" s="527"/>
      <c r="H88" s="527"/>
      <c r="I88" s="527"/>
      <c r="J88" s="527"/>
      <c r="K88" s="527"/>
      <c r="L88" s="527"/>
      <c r="M88" s="527"/>
      <c r="N88" s="527"/>
      <c r="O88" s="527"/>
    </row>
    <row r="89" spans="1:15" ht="27" customHeight="1" x14ac:dyDescent="0.35">
      <c r="A89" s="453"/>
      <c r="B89" s="444"/>
      <c r="C89" s="441"/>
      <c r="D89" s="442"/>
      <c r="E89" s="527"/>
      <c r="F89" s="528"/>
      <c r="G89" s="527"/>
      <c r="H89" s="527"/>
      <c r="I89" s="527"/>
      <c r="J89" s="527"/>
      <c r="K89" s="527"/>
      <c r="L89" s="527"/>
      <c r="M89" s="527"/>
      <c r="N89" s="527"/>
      <c r="O89" s="527"/>
    </row>
    <row r="90" spans="1:15" ht="31" x14ac:dyDescent="0.35">
      <c r="A90" s="147" t="s">
        <v>40</v>
      </c>
      <c r="B90" s="147" t="s">
        <v>41</v>
      </c>
      <c r="C90" s="450" t="s">
        <v>42</v>
      </c>
      <c r="D90" s="386"/>
      <c r="E90" s="450" t="s">
        <v>149</v>
      </c>
      <c r="F90" s="386"/>
      <c r="G90" s="386"/>
      <c r="H90" s="386"/>
      <c r="I90" s="386"/>
      <c r="J90" s="386"/>
      <c r="K90" s="386"/>
      <c r="L90" s="386"/>
      <c r="M90" s="386"/>
      <c r="N90" s="386"/>
      <c r="O90" s="387"/>
    </row>
    <row r="91" spans="1:15" ht="15.5" x14ac:dyDescent="0.35">
      <c r="A91" s="396" t="s">
        <v>44</v>
      </c>
      <c r="B91" s="437" t="s">
        <v>45</v>
      </c>
      <c r="C91" s="76" t="s">
        <v>46</v>
      </c>
      <c r="D91" s="77"/>
      <c r="E91" s="148" t="str">
        <f>IF(E60="","",IF(E60&lt;=55,1,(ROUND(IF(E60&lt;=68,'Reference Curves'!$E$15*E60+'Reference Curves'!$E$16,IF(E60&gt;75,'Reference Curves'!$B$90*E60+'Reference Curves'!$B$91,'Reference Curves'!$D$15*E60+'Reference Curves'!$D$16)),2))))</f>
        <v/>
      </c>
      <c r="F91" s="148" t="str">
        <f>IF(F60="","",IF(F60&lt;=55,1,(ROUND(IF(F60&lt;=68,'Reference Curves'!$E$15*F60+'Reference Curves'!$E$16,IF(F60&gt;75,'Reference Curves'!$B$90*F60+'Reference Curves'!$B$91,'Reference Curves'!$D$15*F60+'Reference Curves'!$D$16)),2))))</f>
        <v/>
      </c>
      <c r="G91" s="148" t="str">
        <f>IF(G60="","",IF(G60&lt;=55,1,(ROUND(IF(G60&lt;=68,'Reference Curves'!$E$15*G60+'Reference Curves'!$E$16,IF(G60&gt;75,'Reference Curves'!$B$90*G60+'Reference Curves'!$B$91,'Reference Curves'!$D$15*G60+'Reference Curves'!$D$16)),2))))</f>
        <v/>
      </c>
      <c r="H91" s="148" t="str">
        <f>IF(H60="","",IF(H60&lt;=55,1,(ROUND(IF(H60&lt;=68,'Reference Curves'!$E$15*H60+'Reference Curves'!$E$16,IF(H60&gt;75,'Reference Curves'!$B$90*H60+'Reference Curves'!$B$91,'Reference Curves'!$D$15*H60+'Reference Curves'!$D$16)),2))))</f>
        <v/>
      </c>
      <c r="I91" s="148" t="str">
        <f>IF(I60="","",IF(I60&lt;=55,1,(ROUND(IF(I60&lt;=68,'Reference Curves'!$E$15*I60+'Reference Curves'!$E$16,IF(I60&gt;75,'Reference Curves'!$B$90*I60+'Reference Curves'!$B$91,'Reference Curves'!$D$15*I60+'Reference Curves'!$D$16)),2))))</f>
        <v/>
      </c>
      <c r="J91" s="148" t="str">
        <f>IF(J60="","",IF(J60&lt;=55,1,(ROUND(IF(J60&lt;=68,'Reference Curves'!$E$15*J60+'Reference Curves'!$E$16,IF(J60&gt;75,'Reference Curves'!$B$90*J60+'Reference Curves'!$B$91,'Reference Curves'!$D$15*J60+'Reference Curves'!$D$16)),2))))</f>
        <v/>
      </c>
      <c r="K91" s="148" t="str">
        <f>IF(K60="","",IF(K60&lt;=55,1,(ROUND(IF(K60&lt;=68,'Reference Curves'!$E$15*K60+'Reference Curves'!$E$16,IF(K60&gt;75,'Reference Curves'!$B$90*K60+'Reference Curves'!$B$91,'Reference Curves'!$D$15*K60+'Reference Curves'!$D$16)),2))))</f>
        <v/>
      </c>
      <c r="L91" s="148" t="str">
        <f>IF(L60="","",IF(L60&lt;=55,1,(ROUND(IF(L60&lt;=68,'Reference Curves'!$E$15*L60+'Reference Curves'!$E$16,IF(L60&gt;75,'Reference Curves'!$B$90*L60+'Reference Curves'!$B$91,'Reference Curves'!$D$15*L60+'Reference Curves'!$D$16)),2))))</f>
        <v/>
      </c>
      <c r="M91" s="148" t="str">
        <f>IF(M60="","",IF(M60&lt;=55,1,(ROUND(IF(M60&lt;=68,'Reference Curves'!$E$15*M60+'Reference Curves'!$E$16,IF(M60&gt;75,'Reference Curves'!$B$90*M60+'Reference Curves'!$B$91,'Reference Curves'!$D$15*M60+'Reference Curves'!$D$16)),2))))</f>
        <v/>
      </c>
      <c r="N91" s="148" t="str">
        <f>IF(N60="","",IF(N60&lt;=55,1,(ROUND(IF(N60&lt;=68,'Reference Curves'!$E$15*N60+'Reference Curves'!$E$16,IF(N60&gt;75,'Reference Curves'!$B$90*N60+'Reference Curves'!$B$91,'Reference Curves'!$D$15*N60+'Reference Curves'!$D$16)),2))))</f>
        <v/>
      </c>
      <c r="O91" s="148" t="str">
        <f>IF(O60="","",IF(O60&lt;=55,1,(ROUND(IF(O60&lt;=68,'Reference Curves'!$E$15*O60+'Reference Curves'!$E$16,IF(O60&gt;75,'Reference Curves'!$B$90*O60+'Reference Curves'!$B$91,'Reference Curves'!$D$15*O60+'Reference Curves'!$D$16)),2))))</f>
        <v/>
      </c>
    </row>
    <row r="92" spans="1:15" ht="15.5" x14ac:dyDescent="0.35">
      <c r="A92" s="397"/>
      <c r="B92" s="438"/>
      <c r="C92" s="82" t="s">
        <v>48</v>
      </c>
      <c r="D92" s="83"/>
      <c r="E92" s="149" t="str">
        <f>IF(E61="","",ROUND(IF(E61&lt;=0.6,'Reference Curves'!$C$50*E61+'Reference Curves'!$C$51,'Reference Curves'!$D$50*E61+'Reference Curves'!$D$51),2))</f>
        <v/>
      </c>
      <c r="F92" s="149" t="str">
        <f>IF(F61="","",ROUND(IF(F61&lt;=0.6,'Reference Curves'!$C$50*F61+'Reference Curves'!$C$51,'Reference Curves'!$D$50*F61+'Reference Curves'!$D$51),2))</f>
        <v/>
      </c>
      <c r="G92" s="149" t="str">
        <f>IF(G61="","",ROUND(IF(G61&lt;=0.6,'Reference Curves'!$C$50*G61+'Reference Curves'!$C$51,'Reference Curves'!$D$50*G61+'Reference Curves'!$D$51),2))</f>
        <v/>
      </c>
      <c r="H92" s="149" t="str">
        <f>IF(H61="","",ROUND(IF(H61&lt;=0.6,'Reference Curves'!$C$50*H61+'Reference Curves'!$C$51,'Reference Curves'!$D$50*H61+'Reference Curves'!$D$51),2))</f>
        <v/>
      </c>
      <c r="I92" s="149" t="str">
        <f>IF(I61="","",ROUND(IF(I61&lt;=0.6,'Reference Curves'!$C$50*I61+'Reference Curves'!$C$51,'Reference Curves'!$D$50*I61+'Reference Curves'!$D$51),2))</f>
        <v/>
      </c>
      <c r="J92" s="149" t="str">
        <f>IF(J61="","",ROUND(IF(J61&lt;=0.6,'Reference Curves'!$C$50*J61+'Reference Curves'!$C$51,'Reference Curves'!$D$50*J61+'Reference Curves'!$D$51),2))</f>
        <v/>
      </c>
      <c r="K92" s="149" t="str">
        <f>IF(K61="","",ROUND(IF(K61&lt;=0.6,'Reference Curves'!$C$50*K61+'Reference Curves'!$C$51,'Reference Curves'!$D$50*K61+'Reference Curves'!$D$51),2))</f>
        <v/>
      </c>
      <c r="L92" s="149" t="str">
        <f>IF(L61="","",ROUND(IF(L61&lt;=0.6,'Reference Curves'!$C$50*L61+'Reference Curves'!$C$51,'Reference Curves'!$D$50*L61+'Reference Curves'!$D$51),2))</f>
        <v/>
      </c>
      <c r="M92" s="149" t="str">
        <f>IF(M61="","",ROUND(IF(M61&lt;=0.6,'Reference Curves'!$C$50*M61+'Reference Curves'!$C$51,'Reference Curves'!$D$50*M61+'Reference Curves'!$D$51),2))</f>
        <v/>
      </c>
      <c r="N92" s="149" t="str">
        <f>IF(N61="","",ROUND(IF(N61&lt;=0.6,'Reference Curves'!$C$50*N61+'Reference Curves'!$C$51,'Reference Curves'!$D$50*N61+'Reference Curves'!$D$51),2))</f>
        <v/>
      </c>
      <c r="O92" s="149" t="str">
        <f>IF(O61="","",ROUND(IF(O61&lt;=0.6,'Reference Curves'!$C$50*O61+'Reference Curves'!$C$51,'Reference Curves'!$D$50*O61+'Reference Curves'!$D$51),2))</f>
        <v/>
      </c>
    </row>
    <row r="93" spans="1:15" ht="15.5" x14ac:dyDescent="0.35">
      <c r="A93" s="406" t="s">
        <v>49</v>
      </c>
      <c r="B93" s="408" t="s">
        <v>50</v>
      </c>
      <c r="C93" s="87" t="s">
        <v>51</v>
      </c>
      <c r="D93" s="87"/>
      <c r="E93" s="150" t="str">
        <f>IF(E62="","",ROUND(IF(E62&gt;1.71,0,IF(E62&lt;=1,1,E62*'Reference Curves'!$L$14+'Reference Curves'!$L$15)),2))</f>
        <v/>
      </c>
      <c r="F93" s="150" t="str">
        <f>IF(F62="","",ROUND(IF(F62&gt;1.71,0,IF(F62&lt;=1,1,F62*'Reference Curves'!$L$14+'Reference Curves'!$L$15)),2))</f>
        <v/>
      </c>
      <c r="G93" s="150" t="str">
        <f>IF(G62="","",ROUND(IF(G62&gt;1.71,0,IF(G62&lt;=1,1,G62*'Reference Curves'!$L$14+'Reference Curves'!$L$15)),2))</f>
        <v/>
      </c>
      <c r="H93" s="150" t="str">
        <f>IF(H62="","",ROUND(IF(H62&gt;1.71,0,IF(H62&lt;=1,1,H62*'Reference Curves'!$L$14+'Reference Curves'!$L$15)),2))</f>
        <v/>
      </c>
      <c r="I93" s="150" t="str">
        <f>IF(I62="","",ROUND(IF(I62&gt;1.71,0,IF(I62&lt;=1,1,I62*'Reference Curves'!$L$14+'Reference Curves'!$L$15)),2))</f>
        <v/>
      </c>
      <c r="J93" s="150" t="str">
        <f>IF(J62="","",ROUND(IF(J62&gt;1.71,0,IF(J62&lt;=1,1,J62*'Reference Curves'!$L$14+'Reference Curves'!$L$15)),2))</f>
        <v/>
      </c>
      <c r="K93" s="150" t="str">
        <f>IF(K62="","",ROUND(IF(K62&gt;1.71,0,IF(K62&lt;=1,1,K62*'Reference Curves'!$L$14+'Reference Curves'!$L$15)),2))</f>
        <v/>
      </c>
      <c r="L93" s="150" t="str">
        <f>IF(L62="","",ROUND(IF(L62&gt;1.71,0,IF(L62&lt;=1,1,L62*'Reference Curves'!$L$14+'Reference Curves'!$L$15)),2))</f>
        <v/>
      </c>
      <c r="M93" s="150" t="str">
        <f>IF(M62="","",ROUND(IF(M62&gt;1.71,0,IF(M62&lt;=1,1,M62*'Reference Curves'!$L$14+'Reference Curves'!$L$15)),2))</f>
        <v/>
      </c>
      <c r="N93" s="150" t="str">
        <f>IF(N62="","",ROUND(IF(N62&gt;1.71,0,IF(N62&lt;=1,1,N62*'Reference Curves'!$L$14+'Reference Curves'!$L$15)),2))</f>
        <v/>
      </c>
      <c r="O93" s="150" t="str">
        <f>IF(O62="","",ROUND(IF(O62&gt;1.71,0,IF(O62&lt;=1,1,O62*'Reference Curves'!$L$14+'Reference Curves'!$L$15)),2))</f>
        <v/>
      </c>
    </row>
    <row r="94" spans="1:15" ht="15.5" x14ac:dyDescent="0.35">
      <c r="A94" s="407"/>
      <c r="B94" s="409"/>
      <c r="C94" s="90" t="s">
        <v>52</v>
      </c>
      <c r="D94" s="90"/>
      <c r="E94" s="151" t="str">
        <f>IF(E63="","",
IF(LEFT($C$11,1)="C",
ROUND(IF(E63&gt;=7.3,1,
IF(E63&lt;=1,0,
IF(E63&lt;=2.2, E63*'Reference Curves'!$L$49+'Reference Curves'!$L$50, E63*'Reference Curves'!$M$49+'Reference Curves'!$M$50))),2),
IF(LEFT($C$11,1)="B",
ROUND(IF(E63&gt;=2,1,
IF(E63&lt;=1,0,
IF(E63&lt;=1.4,E63*'Reference Curves'!$L$117+'Reference Curves'!$L$118,E63*'Reference Curves'!$M$117+'Reference Curves'!$M$118))),2),               IF(OR(LEFT($C$11,1)="E"), ROUND(IF(E63&gt;=10,1,
IF(E63&lt;=1,0,
IF(E63&lt;=2.2,E63*'Reference Curves'!$L$82+'Reference Curves'!$L$83,
E63*'Reference Curves'!$M$82+'Reference Curves'!$M$83))),2)))))</f>
        <v/>
      </c>
      <c r="F94" s="151" t="str">
        <f>IF(F63="","",
IF(LEFT($C$11,1)="C",
ROUND(IF(F63&gt;=7.3,1,
IF(F63&lt;=1,0,
IF(F63&lt;=2.2, F63*'Reference Curves'!$L$49+'Reference Curves'!$L$50, F63*'Reference Curves'!$M$49+'Reference Curves'!$M$50))),2),
IF(LEFT($C$11,1)="B",
ROUND(IF(F63&gt;=2,1,
IF(F63&lt;=1,0,
IF(F63&lt;=1.4,F63*'Reference Curves'!$L$117+'Reference Curves'!$L$118,F63*'Reference Curves'!$M$117+'Reference Curves'!$M$118))),2),               IF(OR(LEFT($C$11,1)="E"), ROUND(IF(F63&gt;=10,1,
IF(F63&lt;=1,0,
IF(F63&lt;=2.2,F63*'Reference Curves'!$L$82+'Reference Curves'!$L$83,
F63*'Reference Curves'!$M$82+'Reference Curves'!$M$83))),2)))))</f>
        <v/>
      </c>
      <c r="G94" s="151" t="str">
        <f>IF(G63="","",
IF(LEFT($C$11,1)="C",
ROUND(IF(G63&gt;=7.3,1,
IF(G63&lt;=1,0,
IF(G63&lt;=2.2, G63*'Reference Curves'!$L$49+'Reference Curves'!$L$50, G63*'Reference Curves'!$M$49+'Reference Curves'!$M$50))),2),
IF(LEFT($C$11,1)="B",
ROUND(IF(G63&gt;=2,1,
IF(G63&lt;=1,0,
IF(G63&lt;=1.4,G63*'Reference Curves'!$L$117+'Reference Curves'!$L$118,G63*'Reference Curves'!$M$117+'Reference Curves'!$M$118))),2),               IF(OR(LEFT($C$11,1)="E"), ROUND(IF(G63&gt;=10,1,
IF(G63&lt;=1,0,
IF(G63&lt;=2.2,G63*'Reference Curves'!$L$82+'Reference Curves'!$L$83,
G63*'Reference Curves'!$M$82+'Reference Curves'!$M$83))),2)))))</f>
        <v/>
      </c>
      <c r="H94" s="151" t="str">
        <f>IF(H63="","",
IF(LEFT($C$11,1)="C",
ROUND(IF(H63&gt;=7.3,1,
IF(H63&lt;=1,0,
IF(H63&lt;=2.2, H63*'Reference Curves'!$L$49+'Reference Curves'!$L$50, H63*'Reference Curves'!$M$49+'Reference Curves'!$M$50))),2),
IF(LEFT($C$11,1)="B",
ROUND(IF(H63&gt;=2,1,
IF(H63&lt;=1,0,
IF(H63&lt;=1.4,H63*'Reference Curves'!$L$117+'Reference Curves'!$L$118,H63*'Reference Curves'!$M$117+'Reference Curves'!$M$118))),2),               IF(OR(LEFT($C$11,1)="E"), ROUND(IF(H63&gt;=10,1,
IF(H63&lt;=1,0,
IF(H63&lt;=2.2,H63*'Reference Curves'!$L$82+'Reference Curves'!$L$83,
H63*'Reference Curves'!$M$82+'Reference Curves'!$M$83))),2)))))</f>
        <v/>
      </c>
      <c r="I94" s="151" t="str">
        <f>IF(I63="","",
IF(LEFT($C$11,1)="C",
ROUND(IF(I63&gt;=7.3,1,
IF(I63&lt;=1,0,
IF(I63&lt;=2.2, I63*'Reference Curves'!$L$49+'Reference Curves'!$L$50, I63*'Reference Curves'!$M$49+'Reference Curves'!$M$50))),2),
IF(LEFT($C$11,1)="B",
ROUND(IF(I63&gt;=2,1,
IF(I63&lt;=1,0,
IF(I63&lt;=1.4,I63*'Reference Curves'!$L$117+'Reference Curves'!$L$118,I63*'Reference Curves'!$M$117+'Reference Curves'!$M$118))),2),               IF(OR(LEFT($C$11,1)="E"), ROUND(IF(I63&gt;=10,1,
IF(I63&lt;=1,0,
IF(I63&lt;=2.2,I63*'Reference Curves'!$L$82+'Reference Curves'!$L$83,
I63*'Reference Curves'!$M$82+'Reference Curves'!$M$83))),2)))))</f>
        <v/>
      </c>
      <c r="J94" s="151" t="str">
        <f>IF(J63="","",
IF(LEFT($C$11,1)="C",
ROUND(IF(J63&gt;=7.3,1,
IF(J63&lt;=1,0,
IF(J63&lt;=2.2, J63*'Reference Curves'!$L$49+'Reference Curves'!$L$50, J63*'Reference Curves'!$M$49+'Reference Curves'!$M$50))),2),
IF(LEFT($C$11,1)="B",
ROUND(IF(J63&gt;=2,1,
IF(J63&lt;=1,0,
IF(J63&lt;=1.4,J63*'Reference Curves'!$L$117+'Reference Curves'!$L$118,J63*'Reference Curves'!$M$117+'Reference Curves'!$M$118))),2),               IF(OR(LEFT($C$11,1)="E"), ROUND(IF(J63&gt;=10,1,
IF(J63&lt;=1,0,
IF(J63&lt;=2.2,J63*'Reference Curves'!$L$82+'Reference Curves'!$L$83,
J63*'Reference Curves'!$M$82+'Reference Curves'!$M$83))),2)))))</f>
        <v/>
      </c>
      <c r="K94" s="151" t="str">
        <f>IF(K63="","",
IF(LEFT($C$11,1)="C",
ROUND(IF(K63&gt;=7.3,1,
IF(K63&lt;=1,0,
IF(K63&lt;=2.2, K63*'Reference Curves'!$L$49+'Reference Curves'!$L$50, K63*'Reference Curves'!$M$49+'Reference Curves'!$M$50))),2),
IF(LEFT($C$11,1)="B",
ROUND(IF(K63&gt;=2,1,
IF(K63&lt;=1,0,
IF(K63&lt;=1.4,K63*'Reference Curves'!$L$117+'Reference Curves'!$L$118,K63*'Reference Curves'!$M$117+'Reference Curves'!$M$118))),2),               IF(OR(LEFT($C$11,1)="E"), ROUND(IF(K63&gt;=10,1,
IF(K63&lt;=1,0,
IF(K63&lt;=2.2,K63*'Reference Curves'!$L$82+'Reference Curves'!$L$83,
K63*'Reference Curves'!$M$82+'Reference Curves'!$M$83))),2)))))</f>
        <v/>
      </c>
      <c r="L94" s="151" t="str">
        <f>IF(L63="","",
IF(LEFT($C$11,1)="C",
ROUND(IF(L63&gt;=7.3,1,
IF(L63&lt;=1,0,
IF(L63&lt;=2.2, L63*'Reference Curves'!$L$49+'Reference Curves'!$L$50, L63*'Reference Curves'!$M$49+'Reference Curves'!$M$50))),2),
IF(LEFT($C$11,1)="B",
ROUND(IF(L63&gt;=2,1,
IF(L63&lt;=1,0,
IF(L63&lt;=1.4,L63*'Reference Curves'!$L$117+'Reference Curves'!$L$118,L63*'Reference Curves'!$M$117+'Reference Curves'!$M$118))),2),               IF(OR(LEFT($C$11,1)="E"), ROUND(IF(L63&gt;=10,1,
IF(L63&lt;=1,0,
IF(L63&lt;=2.2,L63*'Reference Curves'!$L$82+'Reference Curves'!$L$83,
L63*'Reference Curves'!$M$82+'Reference Curves'!$M$83))),2)))))</f>
        <v/>
      </c>
      <c r="M94" s="151" t="str">
        <f>IF(M63="","",
IF(LEFT($C$11,1)="C",
ROUND(IF(M63&gt;=7.3,1,
IF(M63&lt;=1,0,
IF(M63&lt;=2.2, M63*'Reference Curves'!$L$49+'Reference Curves'!$L$50, M63*'Reference Curves'!$M$49+'Reference Curves'!$M$50))),2),
IF(LEFT($C$11,1)="B",
ROUND(IF(M63&gt;=2,1,
IF(M63&lt;=1,0,
IF(M63&lt;=1.4,M63*'Reference Curves'!$L$117+'Reference Curves'!$L$118,M63*'Reference Curves'!$M$117+'Reference Curves'!$M$118))),2),               IF(OR(LEFT($C$11,1)="E"), ROUND(IF(M63&gt;=10,1,
IF(M63&lt;=1,0,
IF(M63&lt;=2.2,M63*'Reference Curves'!$L$82+'Reference Curves'!$L$83,
M63*'Reference Curves'!$M$82+'Reference Curves'!$M$83))),2)))))</f>
        <v/>
      </c>
      <c r="N94" s="151" t="str">
        <f>IF(N63="","",
IF(LEFT($C$11,1)="C",
ROUND(IF(N63&gt;=7.3,1,
IF(N63&lt;=1,0,
IF(N63&lt;=2.2, N63*'Reference Curves'!$L$49+'Reference Curves'!$L$50, N63*'Reference Curves'!$M$49+'Reference Curves'!$M$50))),2),
IF(LEFT($C$11,1)="B",
ROUND(IF(N63&gt;=2,1,
IF(N63&lt;=1,0,
IF(N63&lt;=1.4,N63*'Reference Curves'!$L$117+'Reference Curves'!$L$118,N63*'Reference Curves'!$M$117+'Reference Curves'!$M$118))),2),               IF(OR(LEFT($C$11,1)="E"), ROUND(IF(N63&gt;=10,1,
IF(N63&lt;=1,0,
IF(N63&lt;=2.2,N63*'Reference Curves'!$L$82+'Reference Curves'!$L$83,
N63*'Reference Curves'!$M$82+'Reference Curves'!$M$83))),2)))))</f>
        <v/>
      </c>
      <c r="O94" s="151" t="str">
        <f>IF(O63="","",
IF(LEFT($C$11,1)="C",
ROUND(IF(O63&gt;=7.3,1,
IF(O63&lt;=1,0,
IF(O63&lt;=2.2, O63*'Reference Curves'!$L$49+'Reference Curves'!$L$50, O63*'Reference Curves'!$M$49+'Reference Curves'!$M$50))),2),
IF(LEFT($C$11,1)="B",
ROUND(IF(O63&gt;=2,1,
IF(O63&lt;=1,0,
IF(O63&lt;=1.4,O63*'Reference Curves'!$L$117+'Reference Curves'!$L$118,O63*'Reference Curves'!$M$117+'Reference Curves'!$M$118))),2),               IF(OR(LEFT($C$11,1)="E"), ROUND(IF(O63&gt;=10,1,
IF(O63&lt;=1,0,
IF(O63&lt;=2.2,O63*'Reference Curves'!$L$82+'Reference Curves'!$L$83,
O63*'Reference Curves'!$M$82+'Reference Curves'!$M$83))),2)))))</f>
        <v/>
      </c>
    </row>
    <row r="95" spans="1:15" ht="15.5" x14ac:dyDescent="0.35">
      <c r="A95" s="420" t="s">
        <v>54</v>
      </c>
      <c r="B95" s="117" t="s">
        <v>55</v>
      </c>
      <c r="C95" s="93" t="s">
        <v>56</v>
      </c>
      <c r="D95" s="94"/>
      <c r="E95" s="69" t="str">
        <f>IF(E64="","",ROUND(IF(E64&gt;=731,1,IF(E64&lt;355,'Reference Curves'!$U$15*E64+'Reference Curves'!$U$16,'Reference Curves'!$V$15*E64+'Reference Curves'!$V$16)),2))</f>
        <v/>
      </c>
      <c r="F95" s="69" t="str">
        <f>IF(F64="","",ROUND(IF(F64&gt;=731,1,IF(F64&lt;355,'Reference Curves'!$U$15*F64+'Reference Curves'!$U$16,'Reference Curves'!$V$15*F64+'Reference Curves'!$V$16)),2))</f>
        <v/>
      </c>
      <c r="G95" s="69" t="str">
        <f>IF(G64="","",ROUND(IF(G64&gt;=731,1,IF(G64&lt;355,'Reference Curves'!$U$15*G64+'Reference Curves'!$U$16,'Reference Curves'!$V$15*G64+'Reference Curves'!$V$16)),2))</f>
        <v/>
      </c>
      <c r="H95" s="69" t="str">
        <f>IF(H64="","",ROUND(IF(H64&gt;=731,1,IF(H64&lt;355,'Reference Curves'!$U$15*H64+'Reference Curves'!$U$16,'Reference Curves'!$V$15*H64+'Reference Curves'!$V$16)),2))</f>
        <v/>
      </c>
      <c r="I95" s="69" t="str">
        <f>IF(I64="","",ROUND(IF(I64&gt;=731,1,IF(I64&lt;355,'Reference Curves'!$U$15*I64+'Reference Curves'!$U$16,'Reference Curves'!$V$15*I64+'Reference Curves'!$V$16)),2))</f>
        <v/>
      </c>
      <c r="J95" s="69" t="str">
        <f>IF(J64="","",ROUND(IF(J64&gt;=731,1,IF(J64&lt;355,'Reference Curves'!$U$15*J64+'Reference Curves'!$U$16,'Reference Curves'!$V$15*J64+'Reference Curves'!$V$16)),2))</f>
        <v/>
      </c>
      <c r="K95" s="69" t="str">
        <f>IF(K64="","",ROUND(IF(K64&gt;=731,1,IF(K64&lt;355,'Reference Curves'!$U$15*K64+'Reference Curves'!$U$16,'Reference Curves'!$V$15*K64+'Reference Curves'!$V$16)),2))</f>
        <v/>
      </c>
      <c r="L95" s="69" t="str">
        <f>IF(L64="","",ROUND(IF(L64&gt;=731,1,IF(L64&lt;355,'Reference Curves'!$U$15*L64+'Reference Curves'!$U$16,'Reference Curves'!$V$15*L64+'Reference Curves'!$V$16)),2))</f>
        <v/>
      </c>
      <c r="M95" s="69" t="str">
        <f>IF(M64="","",ROUND(IF(M64&gt;=731,1,IF(M64&lt;355,'Reference Curves'!$U$15*M64+'Reference Curves'!$U$16,'Reference Curves'!$V$15*M64+'Reference Curves'!$V$16)),2))</f>
        <v/>
      </c>
      <c r="N95" s="69" t="str">
        <f>IF(N64="","",ROUND(IF(N64&gt;=731,1,IF(N64&lt;355,'Reference Curves'!$U$15*N64+'Reference Curves'!$U$16,'Reference Curves'!$V$15*N64+'Reference Curves'!$V$16)),2))</f>
        <v/>
      </c>
      <c r="O95" s="69" t="str">
        <f>IF(O64="","",ROUND(IF(O64&gt;=731,1,IF(O64&lt;355,'Reference Curves'!$U$15*O64+'Reference Curves'!$U$16,'Reference Curves'!$V$15*O64+'Reference Curves'!$V$16)),2))</f>
        <v/>
      </c>
    </row>
    <row r="96" spans="1:15" ht="15.5" x14ac:dyDescent="0.35">
      <c r="A96" s="421"/>
      <c r="B96" s="404" t="s">
        <v>58</v>
      </c>
      <c r="C96" s="100" t="s">
        <v>59</v>
      </c>
      <c r="D96" s="100"/>
      <c r="E96" s="150" t="str">
        <f t="shared" ref="E96:O96" si="0">IF(E65="","",IF(OR(E65="Ex/VL",E65="VH/VL",E65="H/M",E65="H/L",E65="H/VL"),0.2, IF(OR(LEFT(E65,2)="Ex",E65="VH/Ex",E65="VH/VH", E65="VH/H"),0,IF(OR(E65="VH/M",E65="VH/L",E65="H/Ex", E65="H/VH", E65="H/H"),0.1, IF(OR(E65="M/Ex",E65="M/VH"),0.3, IF(E65="M/H",0.4, IF(E65="M/M",0.5, IF(OR(E65="M/L",E65="M/VL"),0.6, IF(E65="L/Ex",0.7, IF(OR(LEFT(E65,1)="L",LEFT(E65,2)="VL"),1))))))))))</f>
        <v/>
      </c>
      <c r="F96" s="150" t="str">
        <f t="shared" si="0"/>
        <v/>
      </c>
      <c r="G96" s="150" t="str">
        <f t="shared" si="0"/>
        <v/>
      </c>
      <c r="H96" s="150" t="str">
        <f t="shared" si="0"/>
        <v/>
      </c>
      <c r="I96" s="150" t="str">
        <f t="shared" si="0"/>
        <v/>
      </c>
      <c r="J96" s="150" t="str">
        <f t="shared" si="0"/>
        <v/>
      </c>
      <c r="K96" s="150" t="str">
        <f t="shared" si="0"/>
        <v/>
      </c>
      <c r="L96" s="150" t="str">
        <f t="shared" si="0"/>
        <v/>
      </c>
      <c r="M96" s="150" t="str">
        <f t="shared" si="0"/>
        <v/>
      </c>
      <c r="N96" s="150" t="str">
        <f t="shared" si="0"/>
        <v/>
      </c>
      <c r="O96" s="150" t="str">
        <f t="shared" si="0"/>
        <v/>
      </c>
    </row>
    <row r="97" spans="1:15" ht="15.5" x14ac:dyDescent="0.35">
      <c r="A97" s="421"/>
      <c r="B97" s="405"/>
      <c r="C97" s="104" t="s">
        <v>60</v>
      </c>
      <c r="D97" s="100"/>
      <c r="E97" s="150" t="str">
        <f>IF(E66="","",ROUND(IF(E66&gt;=50,0,IF(E66&lt;=5,1,IF(E66&gt;11,E66*'Reference Curves'!$U$117+'Reference Curves'!$U$118,E66*'Reference Curves'!$V$117+'Reference Curves'!$V$118))),2))</f>
        <v/>
      </c>
      <c r="F97" s="150" t="str">
        <f>IF(F66="","",ROUND(IF(F66&gt;=50,0,IF(F66&lt;=5,1,IF(F66&gt;11,F66*'Reference Curves'!$U$117+'Reference Curves'!$U$118,F66*'Reference Curves'!$V$117+'Reference Curves'!$V$118))),2))</f>
        <v/>
      </c>
      <c r="G97" s="150" t="str">
        <f>IF(G66="","",ROUND(IF(G66&gt;=50,0,IF(G66&lt;=5,1,IF(G66&gt;11,G66*'Reference Curves'!$U$117+'Reference Curves'!$U$118,G66*'Reference Curves'!$V$117+'Reference Curves'!$V$118))),2))</f>
        <v/>
      </c>
      <c r="H97" s="150" t="str">
        <f>IF(H66="","",ROUND(IF(H66&gt;=50,0,IF(H66&lt;=5,1,IF(H66&gt;11,H66*'Reference Curves'!$U$117+'Reference Curves'!$U$118,H66*'Reference Curves'!$V$117+'Reference Curves'!$V$118))),2))</f>
        <v/>
      </c>
      <c r="I97" s="150" t="str">
        <f>IF(I66="","",ROUND(IF(I66&gt;=50,0,IF(I66&lt;=5,1,IF(I66&gt;11,I66*'Reference Curves'!$U$117+'Reference Curves'!$U$118,I66*'Reference Curves'!$V$117+'Reference Curves'!$V$118))),2))</f>
        <v/>
      </c>
      <c r="J97" s="150" t="str">
        <f>IF(J66="","",ROUND(IF(J66&gt;=50,0,IF(J66&lt;=5,1,IF(J66&gt;11,J66*'Reference Curves'!$U$117+'Reference Curves'!$U$118,J66*'Reference Curves'!$V$117+'Reference Curves'!$V$118))),2))</f>
        <v/>
      </c>
      <c r="K97" s="150" t="str">
        <f>IF(K66="","",ROUND(IF(K66&gt;=50,0,IF(K66&lt;=5,1,IF(K66&gt;11,K66*'Reference Curves'!$U$117+'Reference Curves'!$U$118,K66*'Reference Curves'!$V$117+'Reference Curves'!$V$118))),2))</f>
        <v/>
      </c>
      <c r="L97" s="150" t="str">
        <f>IF(L66="","",ROUND(IF(L66&gt;=50,0,IF(L66&lt;=5,1,IF(L66&gt;11,L66*'Reference Curves'!$U$117+'Reference Curves'!$U$118,L66*'Reference Curves'!$V$117+'Reference Curves'!$V$118))),2))</f>
        <v/>
      </c>
      <c r="M97" s="150" t="str">
        <f>IF(M66="","",ROUND(IF(M66&gt;=50,0,IF(M66&lt;=5,1,IF(M66&gt;11,M66*'Reference Curves'!$U$117+'Reference Curves'!$U$118,M66*'Reference Curves'!$V$117+'Reference Curves'!$V$118))),2))</f>
        <v/>
      </c>
      <c r="N97" s="150" t="str">
        <f>IF(N66="","",ROUND(IF(N66&gt;=50,0,IF(N66&lt;=5,1,IF(N66&gt;11,N66*'Reference Curves'!$U$117+'Reference Curves'!$U$118,N66*'Reference Curves'!$V$117+'Reference Curves'!$V$118))),2))</f>
        <v/>
      </c>
      <c r="O97" s="150" t="str">
        <f>IF(O66="","",ROUND(IF(O66&gt;=50,0,IF(O66&lt;=5,1,IF(O66&gt;11,O66*'Reference Curves'!$U$117+'Reference Curves'!$U$118,O66*'Reference Curves'!$V$117+'Reference Curves'!$V$118))),2))</f>
        <v/>
      </c>
    </row>
    <row r="98" spans="1:15" ht="15.5" x14ac:dyDescent="0.35">
      <c r="A98" s="421"/>
      <c r="B98" s="434"/>
      <c r="C98" s="106" t="s">
        <v>61</v>
      </c>
      <c r="D98" s="140"/>
      <c r="E98" s="149" t="str">
        <f>IF(E67="","",ROUND(IF(E67&gt;=30,0,E67*'Reference Curves'!$U$149+'Reference Curves'!$U$150),2))</f>
        <v/>
      </c>
      <c r="F98" s="149" t="str">
        <f>IF(F67="","",ROUND(IF(F67&gt;=30,0,F67*'Reference Curves'!$U$149+'Reference Curves'!$U$150),2))</f>
        <v/>
      </c>
      <c r="G98" s="149" t="str">
        <f>IF(G67="","",ROUND(IF(G67&gt;=30,0,G67*'Reference Curves'!$U$149+'Reference Curves'!$U$150),2))</f>
        <v/>
      </c>
      <c r="H98" s="149" t="str">
        <f>IF(H67="","",ROUND(IF(H67&gt;=30,0,H67*'Reference Curves'!$U$149+'Reference Curves'!$U$150),2))</f>
        <v/>
      </c>
      <c r="I98" s="149" t="str">
        <f>IF(I67="","",ROUND(IF(I67&gt;=30,0,I67*'Reference Curves'!$U$149+'Reference Curves'!$U$150),2))</f>
        <v/>
      </c>
      <c r="J98" s="149" t="str">
        <f>IF(J67="","",ROUND(IF(J67&gt;=30,0,J67*'Reference Curves'!$U$149+'Reference Curves'!$U$150),2))</f>
        <v/>
      </c>
      <c r="K98" s="149" t="str">
        <f>IF(K67="","",ROUND(IF(K67&gt;=30,0,K67*'Reference Curves'!$U$149+'Reference Curves'!$U$150),2))</f>
        <v/>
      </c>
      <c r="L98" s="149" t="str">
        <f>IF(L67="","",ROUND(IF(L67&gt;=30,0,L67*'Reference Curves'!$U$149+'Reference Curves'!$U$150),2))</f>
        <v/>
      </c>
      <c r="M98" s="149" t="str">
        <f>IF(M67="","",ROUND(IF(M67&gt;=30,0,M67*'Reference Curves'!$U$149+'Reference Curves'!$U$150),2))</f>
        <v/>
      </c>
      <c r="N98" s="149" t="str">
        <f>IF(N67="","",ROUND(IF(N67&gt;=30,0,N67*'Reference Curves'!$U$149+'Reference Curves'!$U$150),2))</f>
        <v/>
      </c>
      <c r="O98" s="149" t="str">
        <f>IF(O67="","",ROUND(IF(O67&gt;=30,0,O67*'Reference Curves'!$U$149+'Reference Curves'!$U$150),2))</f>
        <v/>
      </c>
    </row>
    <row r="99" spans="1:15" ht="15.5" x14ac:dyDescent="0.35">
      <c r="A99" s="421"/>
      <c r="B99" s="402" t="s">
        <v>62</v>
      </c>
      <c r="C99" s="109" t="s">
        <v>134</v>
      </c>
      <c r="D99" s="118"/>
      <c r="E99" s="148" t="str">
        <f>IF(E68="","",ROUND(IF(OR($C$12="Colluvial",$C$12="Confined alluvial"),IF(E68&gt;=50,1, IF(E68&lt;30, E68*'Reference Curves'!$U$183+'Reference Curves'!$U$184, E68*'Reference Curves'!$V$183+'Reference Curves'!$V$184)), IF($C$12="Unconfined Alluvial",IF(E68&gt;=150,1,IF(E68&lt;50, E68*'Reference Curves'!$U$217+'Reference Curves'!$U$218, E68*'Reference Curves'!$V$217+'Reference Curves'!$V$218)))),2))</f>
        <v/>
      </c>
      <c r="F99" s="152" t="str">
        <f>IF(F68="","",ROUND(IF(OR($C$12="Colluvial",$C$12="Confined alluvial"),IF(F68&gt;=50,1, IF(F68&lt;30, F68*'Reference Curves'!$U$183+'Reference Curves'!$U$184, F68*'Reference Curves'!$V$183+'Reference Curves'!$V$184)), IF($C$12="Unconfined Alluvial",IF(F68&gt;=150,1,IF(F68&lt;50, F68*'Reference Curves'!$U$217+'Reference Curves'!$U$218, F68*'Reference Curves'!$V$217+'Reference Curves'!$V$218)))),2))</f>
        <v/>
      </c>
      <c r="G99" s="148" t="str">
        <f>IF(G68="","",ROUND(IF(OR($C$12="Colluvial",$C$12="Confined alluvial"),IF(G68&gt;=50,1, IF(G68&lt;30, G68*'Reference Curves'!$U$183+'Reference Curves'!$U$184, G68*'Reference Curves'!$V$183+'Reference Curves'!$V$184)), IF($C$12="Unconfined Alluvial",IF(G68&gt;=150,1,IF(G68&lt;50, G68*'Reference Curves'!$U$217+'Reference Curves'!$U$218, G68*'Reference Curves'!$V$217+'Reference Curves'!$V$218)))),2))</f>
        <v/>
      </c>
      <c r="H99" s="153" t="str">
        <f>IF(H68="","",ROUND(IF(OR($C$12="Colluvial",$C$12="Confined alluvial"),IF(H68&gt;=50,1, IF(H68&lt;30, H68*'Reference Curves'!$U$183+'Reference Curves'!$U$184, H68*'Reference Curves'!$V$183+'Reference Curves'!$V$184)), IF($C$12="Unconfined Alluvial",IF(H68&gt;=150,1,IF(H68&lt;50, H68*'Reference Curves'!$U$217+'Reference Curves'!$U$218, H68*'Reference Curves'!$V$217+'Reference Curves'!$V$218)))),2))</f>
        <v/>
      </c>
      <c r="I99" s="150" t="str">
        <f>IF(I68="","",ROUND(IF(OR($C$12="Colluvial",$C$12="Confined alluvial"),IF(I68&gt;=50,1, IF(I68&lt;30, I68*'Reference Curves'!$U$183+'Reference Curves'!$U$184, I68*'Reference Curves'!$V$183+'Reference Curves'!$V$184)), IF($C$12="Unconfined Alluvial",IF(I68&gt;=150,1,IF(I68&lt;50, I68*'Reference Curves'!$U$217+'Reference Curves'!$U$218, I68*'Reference Curves'!$V$217+'Reference Curves'!$V$218)))),2))</f>
        <v/>
      </c>
      <c r="J99" s="148" t="str">
        <f>IF(J68="","",ROUND(IF(OR($C$12="Colluvial",$C$12="Confined alluvial"),IF(J68&gt;=50,1, IF(J68&lt;30, J68*'Reference Curves'!$U$183+'Reference Curves'!$U$184, J68*'Reference Curves'!$V$183+'Reference Curves'!$V$184)), IF($C$12="Unconfined Alluvial",IF(J68&gt;=150,1,IF(J68&lt;50, J68*'Reference Curves'!$U$217+'Reference Curves'!$U$218, J68*'Reference Curves'!$V$217+'Reference Curves'!$V$218)))),2))</f>
        <v/>
      </c>
      <c r="K99" s="154" t="str">
        <f>IF(K68="","",ROUND(IF(OR($C$12="Colluvial",$C$12="Confined alluvial"),IF(K68&gt;=50,1, IF(K68&lt;30, K68*'Reference Curves'!$U$183+'Reference Curves'!$U$184, K68*'Reference Curves'!$V$183+'Reference Curves'!$V$184)), IF($C$12="Unconfined Alluvial",IF(K68&gt;=150,1,IF(K68&lt;50, K68*'Reference Curves'!$U$217+'Reference Curves'!$U$218, K68*'Reference Curves'!$V$217+'Reference Curves'!$V$218)))),2))</f>
        <v/>
      </c>
      <c r="L99" s="148" t="str">
        <f>IF(L68="","",ROUND(IF(OR($C$12="Colluvial",$C$12="Confined alluvial"),IF(L68&gt;=50,1, IF(L68&lt;30, L68*'Reference Curves'!$U$183+'Reference Curves'!$U$184, L68*'Reference Curves'!$V$183+'Reference Curves'!$V$184)), IF($C$12="Unconfined Alluvial",IF(L68&gt;=150,1,IF(L68&lt;50, L68*'Reference Curves'!$U$217+'Reference Curves'!$U$218, L68*'Reference Curves'!$V$217+'Reference Curves'!$V$218)))),2))</f>
        <v/>
      </c>
      <c r="M99" s="153" t="str">
        <f>IF(M68="","",ROUND(IF(OR($C$12="Colluvial",$C$12="Confined alluvial"),IF(M68&gt;=50,1, IF(M68&lt;30, M68*'Reference Curves'!$U$183+'Reference Curves'!$U$184, M68*'Reference Curves'!$V$183+'Reference Curves'!$V$184)), IF($C$12="Unconfined Alluvial",IF(M68&gt;=150,1,IF(M68&lt;50, M68*'Reference Curves'!$U$217+'Reference Curves'!$U$218, M68*'Reference Curves'!$V$217+'Reference Curves'!$V$218)))),2))</f>
        <v/>
      </c>
      <c r="N99" s="150" t="str">
        <f>IF(N68="","",ROUND(IF(OR($C$12="Colluvial",$C$12="Confined alluvial"),IF(N68&gt;=50,1, IF(N68&lt;30, N68*'Reference Curves'!$U$183+'Reference Curves'!$U$184, N68*'Reference Curves'!$V$183+'Reference Curves'!$V$184)), IF($C$12="Unconfined Alluvial",IF(N68&gt;=150,1,IF(N68&lt;50, N68*'Reference Curves'!$U$217+'Reference Curves'!$U$218, N68*'Reference Curves'!$V$217+'Reference Curves'!$V$218)))),2))</f>
        <v/>
      </c>
      <c r="O99" s="150" t="str">
        <f>IF(O68="","",ROUND(IF(OR($C$12="Colluvial",$C$12="Confined alluvial"),IF(O68&gt;=50,1, IF(O68&lt;30, O68*'Reference Curves'!$U$183+'Reference Curves'!$U$184, O68*'Reference Curves'!$V$183+'Reference Curves'!$V$184)), IF($C$12="Unconfined Alluvial",IF(O68&gt;=150,1,IF(O68&lt;50, O68*'Reference Curves'!$U$217+'Reference Curves'!$U$218, O68*'Reference Curves'!$V$217+'Reference Curves'!$V$218)))),2))</f>
        <v/>
      </c>
    </row>
    <row r="100" spans="1:15" ht="15.5" x14ac:dyDescent="0.35">
      <c r="A100" s="421"/>
      <c r="B100" s="403"/>
      <c r="C100" s="104" t="s">
        <v>135</v>
      </c>
      <c r="D100" s="100"/>
      <c r="E100" s="152" t="str">
        <f>IF(E69="","",ROUND(IF(OR($C$12="Colluvial",$C$12="Confined alluvial"),IF(E69&gt;=50,1, IF(E69&lt;30, E69*'Reference Curves'!$U$183+'Reference Curves'!$U$184, E69*'Reference Curves'!$V$183+'Reference Curves'!$V$184)), IF($C$12="Unconfined Alluvial",IF(E69&gt;=150,1,IF(E69&lt;50, E69*'Reference Curves'!$U$217+'Reference Curves'!$U$218, E69*'Reference Curves'!$V$217+'Reference Curves'!$V$218)))),2))</f>
        <v/>
      </c>
      <c r="F100" s="152" t="str">
        <f>IF(F69="","",ROUND(IF(OR($C$12="Colluvial",$C$12="Confined alluvial"),IF(F69&gt;=50,1, IF(F69&lt;30, F69*'Reference Curves'!$U$183+'Reference Curves'!$U$184, F69*'Reference Curves'!$V$183+'Reference Curves'!$V$184)), IF($C$12="Unconfined Alluvial",IF(F69&gt;=150,1,IF(F69&lt;50, F69*'Reference Curves'!$U$217+'Reference Curves'!$U$218, F69*'Reference Curves'!$V$217+'Reference Curves'!$V$218)))),2))</f>
        <v/>
      </c>
      <c r="G100" s="150" t="str">
        <f>IF(G69="","",ROUND(IF(OR($C$12="Colluvial",$C$12="Confined alluvial"),IF(G69&gt;=50,1, IF(G69&lt;30, G69*'Reference Curves'!$U$183+'Reference Curves'!$U$184, G69*'Reference Curves'!$V$183+'Reference Curves'!$V$184)), IF($C$12="Unconfined Alluvial",IF(G69&gt;=150,1,IF(G69&lt;50, G69*'Reference Curves'!$U$217+'Reference Curves'!$U$218, G69*'Reference Curves'!$V$217+'Reference Curves'!$V$218)))),2))</f>
        <v/>
      </c>
      <c r="H100" s="153" t="str">
        <f>IF(H69="","",ROUND(IF(OR($C$12="Colluvial",$C$12="Confined alluvial"),IF(H69&gt;=50,1, IF(H69&lt;30, H69*'Reference Curves'!$U$183+'Reference Curves'!$U$184, H69*'Reference Curves'!$V$183+'Reference Curves'!$V$184)), IF($C$12="Unconfined Alluvial",IF(H69&gt;=150,1,IF(H69&lt;50, H69*'Reference Curves'!$U$217+'Reference Curves'!$U$218, H69*'Reference Curves'!$V$217+'Reference Curves'!$V$218)))),2))</f>
        <v/>
      </c>
      <c r="I100" s="153" t="str">
        <f>IF(I69="","",ROUND(IF(OR($C$12="Colluvial",$C$12="Confined alluvial"),IF(I69&gt;=50,1, IF(I69&lt;30, I69*'Reference Curves'!$U$183+'Reference Curves'!$U$184, I69*'Reference Curves'!$V$183+'Reference Curves'!$V$184)), IF($C$12="Unconfined Alluvial",IF(I69&gt;=150,1,IF(I69&lt;50, I69*'Reference Curves'!$U$217+'Reference Curves'!$U$218, I69*'Reference Curves'!$V$217+'Reference Curves'!$V$218)))),2))</f>
        <v/>
      </c>
      <c r="J100" s="153" t="str">
        <f>IF(J69="","",ROUND(IF(OR($C$12="Colluvial",$C$12="Confined alluvial"),IF(J69&gt;=50,1, IF(J69&lt;30, J69*'Reference Curves'!$U$183+'Reference Curves'!$U$184, J69*'Reference Curves'!$V$183+'Reference Curves'!$V$184)), IF($C$12="Unconfined Alluvial",IF(J69&gt;=150,1,IF(J69&lt;50, J69*'Reference Curves'!$U$217+'Reference Curves'!$U$218, J69*'Reference Curves'!$V$217+'Reference Curves'!$V$218)))),2))</f>
        <v/>
      </c>
      <c r="K100" s="153" t="str">
        <f>IF(K69="","",ROUND(IF(OR($C$12="Colluvial",$C$12="Confined alluvial"),IF(K69&gt;=50,1, IF(K69&lt;30, K69*'Reference Curves'!$U$183+'Reference Curves'!$U$184, K69*'Reference Curves'!$V$183+'Reference Curves'!$V$184)), IF($C$12="Unconfined Alluvial",IF(K69&gt;=150,1,IF(K69&lt;50, K69*'Reference Curves'!$U$217+'Reference Curves'!$U$218, K69*'Reference Curves'!$V$217+'Reference Curves'!$V$218)))),2))</f>
        <v/>
      </c>
      <c r="L100" s="150" t="str">
        <f>IF(L69="","",ROUND(IF(OR($C$12="Colluvial",$C$12="Confined alluvial"),IF(L69&gt;=50,1, IF(L69&lt;30, L69*'Reference Curves'!$U$183+'Reference Curves'!$U$184, L69*'Reference Curves'!$V$183+'Reference Curves'!$V$184)), IF($C$12="Unconfined Alluvial",IF(L69&gt;=150,1,IF(L69&lt;50, L69*'Reference Curves'!$U$217+'Reference Curves'!$U$218, L69*'Reference Curves'!$V$217+'Reference Curves'!$V$218)))),2))</f>
        <v/>
      </c>
      <c r="M100" s="150" t="str">
        <f>IF(M69="","",ROUND(IF(OR($C$12="Colluvial",$C$12="Confined alluvial"),IF(M69&gt;=50,1, IF(M69&lt;30, M69*'Reference Curves'!$U$183+'Reference Curves'!$U$184, M69*'Reference Curves'!$V$183+'Reference Curves'!$V$184)), IF($C$12="Unconfined Alluvial",IF(M69&gt;=150,1,IF(M69&lt;50, M69*'Reference Curves'!$U$217+'Reference Curves'!$U$218, M69*'Reference Curves'!$V$217+'Reference Curves'!$V$218)))),2))</f>
        <v/>
      </c>
      <c r="N100" s="153" t="str">
        <f>IF(N69="","",ROUND(IF(OR($C$12="Colluvial",$C$12="Confined alluvial"),IF(N69&gt;=50,1, IF(N69&lt;30, N69*'Reference Curves'!$U$183+'Reference Curves'!$U$184, N69*'Reference Curves'!$V$183+'Reference Curves'!$V$184)), IF($C$12="Unconfined Alluvial",IF(N69&gt;=150,1,IF(N69&lt;50, N69*'Reference Curves'!$U$217+'Reference Curves'!$U$218, N69*'Reference Curves'!$V$217+'Reference Curves'!$V$218)))),2))</f>
        <v/>
      </c>
      <c r="O100" s="150" t="str">
        <f>IF(O69="","",ROUND(IF(OR($C$12="Colluvial",$C$12="Confined alluvial"),IF(O69&gt;=50,1, IF(O69&lt;30, O69*'Reference Curves'!$U$183+'Reference Curves'!$U$184, O69*'Reference Curves'!$V$183+'Reference Curves'!$V$184)), IF($C$12="Unconfined Alluvial",IF(O69&gt;=150,1,IF(O69&lt;50, O69*'Reference Curves'!$U$217+'Reference Curves'!$U$218, O69*'Reference Curves'!$V$217+'Reference Curves'!$V$218)))),2))</f>
        <v/>
      </c>
    </row>
    <row r="101" spans="1:15" ht="15.5" x14ac:dyDescent="0.35">
      <c r="A101" s="421"/>
      <c r="B101" s="403"/>
      <c r="C101" s="104" t="s">
        <v>150</v>
      </c>
      <c r="D101" s="100"/>
      <c r="E101" s="155" t="str">
        <f>IF(E70="","",IF(E70&gt;=120,1,ROUND(IF(E70&gt;=55,'Reference Curves'!$U$956*E70+'Reference Curves'!$U$957,'Reference Curves'!$V$956*E70+'Reference Curves'!$V$957),2)))</f>
        <v/>
      </c>
      <c r="F101" s="156" t="str">
        <f>IF(F70="","",IF(F70&gt;=120,1,ROUND(IF(F70&gt;=55,'Reference Curves'!$U$956*F70+'Reference Curves'!$U$957,'Reference Curves'!$V$956*F70+'Reference Curves'!$V$957),2)))</f>
        <v/>
      </c>
      <c r="G101" s="155" t="str">
        <f>IF(G70="","",IF(G70&gt;=120,1,ROUND(IF(G70&gt;=55,'Reference Curves'!$U$956*G70+'Reference Curves'!$U$957,'Reference Curves'!$V$956*G70+'Reference Curves'!$V$957),2)))</f>
        <v/>
      </c>
      <c r="H101" s="157" t="str">
        <f>IF(H70="","",IF(H70&gt;=120,1,ROUND(IF(H70&gt;=55,'Reference Curves'!$U$956*H70+'Reference Curves'!$U$957,'Reference Curves'!$V$956*H70+'Reference Curves'!$V$957),2)))</f>
        <v/>
      </c>
      <c r="I101" s="157" t="str">
        <f>IF(I70="","",IF(I70&gt;=120,1,ROUND(IF(I70&gt;=55,'Reference Curves'!$U$956*I70+'Reference Curves'!$U$957,'Reference Curves'!$V$956*I70+'Reference Curves'!$V$957),2)))</f>
        <v/>
      </c>
      <c r="J101" s="155" t="str">
        <f>IF(J70="","",IF(J70&gt;=120,1,ROUND(IF(J70&gt;=55,'Reference Curves'!$U$956*J70+'Reference Curves'!$U$957,'Reference Curves'!$V$956*J70+'Reference Curves'!$V$957),2)))</f>
        <v/>
      </c>
      <c r="K101" s="155" t="str">
        <f>IF(K70="","",IF(K70&gt;=120,1,ROUND(IF(K70&gt;=55,'Reference Curves'!$U$956*K70+'Reference Curves'!$U$957,'Reference Curves'!$V$956*K70+'Reference Curves'!$V$957),2)))</f>
        <v/>
      </c>
      <c r="L101" s="155" t="str">
        <f>IF(L70="","",IF(L70&gt;=120,1,ROUND(IF(L70&gt;=55,'Reference Curves'!$U$956*L70+'Reference Curves'!$U$957,'Reference Curves'!$V$956*L70+'Reference Curves'!$V$957),2)))</f>
        <v/>
      </c>
      <c r="M101" s="155" t="str">
        <f>IF(M70="","",IF(M70&gt;=120,1,ROUND(IF(M70&gt;=55,'Reference Curves'!$U$956*M70+'Reference Curves'!$U$957,'Reference Curves'!$V$956*M70+'Reference Curves'!$V$957),2)))</f>
        <v/>
      </c>
      <c r="N101" s="155" t="str">
        <f>IF(N70="","",IF(N70&gt;=120,1,ROUND(IF(N70&gt;=55,'Reference Curves'!$U$956*N70+'Reference Curves'!$U$957,'Reference Curves'!$V$956*N70+'Reference Curves'!$V$957),2)))</f>
        <v/>
      </c>
      <c r="O101" s="157" t="str">
        <f>IF(O70="","",IF(O70&gt;=120,1,ROUND(IF(O70&gt;=55,'Reference Curves'!$U$956*O70+'Reference Curves'!$U$957,'Reference Curves'!$V$956*O70+'Reference Curves'!$V$957),2)))</f>
        <v/>
      </c>
    </row>
    <row r="102" spans="1:15" ht="15.5" x14ac:dyDescent="0.35">
      <c r="A102" s="421"/>
      <c r="B102" s="403"/>
      <c r="C102" s="104" t="s">
        <v>151</v>
      </c>
      <c r="D102" s="100"/>
      <c r="E102" s="155" t="str">
        <f>IF(E71="","",IF(E71&gt;=120,1,ROUND(IF(E71&gt;=55,'Reference Curves'!$U$956*E71+'Reference Curves'!$U$957,'Reference Curves'!$V$956*E71+'Reference Curves'!$V$957),2)))</f>
        <v/>
      </c>
      <c r="F102" s="155" t="str">
        <f>IF(F71="","",IF(F71&gt;=120,1,ROUND(IF(F71&gt;=55,'Reference Curves'!$U$956*F71+'Reference Curves'!$U$957,'Reference Curves'!$V$956*F71+'Reference Curves'!$V$957),2)))</f>
        <v/>
      </c>
      <c r="G102" s="155" t="str">
        <f>IF(G71="","",IF(G71&gt;=120,1,ROUND(IF(G71&gt;=55,'Reference Curves'!$U$956*G71+'Reference Curves'!$U$957,'Reference Curves'!$V$956*G71+'Reference Curves'!$V$957),2)))</f>
        <v/>
      </c>
      <c r="H102" s="155" t="str">
        <f>IF(H71="","",IF(H71&gt;=120,1,ROUND(IF(H71&gt;=55,'Reference Curves'!$U$956*H71+'Reference Curves'!$U$957,'Reference Curves'!$V$956*H71+'Reference Curves'!$V$957),2)))</f>
        <v/>
      </c>
      <c r="I102" s="155" t="str">
        <f>IF(I71="","",IF(I71&gt;=120,1,ROUND(IF(I71&gt;=55,'Reference Curves'!$U$956*I71+'Reference Curves'!$U$957,'Reference Curves'!$V$956*I71+'Reference Curves'!$V$957),2)))</f>
        <v/>
      </c>
      <c r="J102" s="155" t="str">
        <f>IF(J71="","",IF(J71&gt;=120,1,ROUND(IF(J71&gt;=55,'Reference Curves'!$U$956*J71+'Reference Curves'!$U$957,'Reference Curves'!$V$956*J71+'Reference Curves'!$V$957),2)))</f>
        <v/>
      </c>
      <c r="K102" s="155" t="str">
        <f>IF(K71="","",IF(K71&gt;=120,1,ROUND(IF(K71&gt;=55,'Reference Curves'!$U$956*K71+'Reference Curves'!$U$957,'Reference Curves'!$V$956*K71+'Reference Curves'!$V$957),2)))</f>
        <v/>
      </c>
      <c r="L102" s="155" t="str">
        <f>IF(L71="","",IF(L71&gt;=120,1,ROUND(IF(L71&gt;=55,'Reference Curves'!$U$956*L71+'Reference Curves'!$U$957,'Reference Curves'!$V$956*L71+'Reference Curves'!$V$957),2)))</f>
        <v/>
      </c>
      <c r="M102" s="155" t="str">
        <f>IF(M71="","",IF(M71&gt;=120,1,ROUND(IF(M71&gt;=55,'Reference Curves'!$U$956*M71+'Reference Curves'!$U$957,'Reference Curves'!$V$956*M71+'Reference Curves'!$V$957),2)))</f>
        <v/>
      </c>
      <c r="N102" s="155" t="str">
        <f>IF(N71="","",IF(N71&gt;=120,1,ROUND(IF(N71&gt;=55,'Reference Curves'!$U$956*N71+'Reference Curves'!$U$957,'Reference Curves'!$V$956*N71+'Reference Curves'!$V$957),2)))</f>
        <v/>
      </c>
      <c r="O102" s="155" t="str">
        <f>IF(O71="","",IF(O71&gt;=120,1,ROUND(IF(O71&gt;=55,'Reference Curves'!$U$956*O71+'Reference Curves'!$U$957,'Reference Curves'!$V$956*O71+'Reference Curves'!$V$957),2)))</f>
        <v/>
      </c>
    </row>
    <row r="103" spans="1:15" ht="15.5" x14ac:dyDescent="0.35">
      <c r="A103" s="421"/>
      <c r="B103" s="403"/>
      <c r="C103" s="104" t="s">
        <v>146</v>
      </c>
      <c r="D103" s="100"/>
      <c r="E103" s="150" t="str">
        <f>IF(E72="","",ROUND(IF(AND(E72&gt;=250,E72&lt;=330),1,IF(E72&gt;=366,0.5,IF(E72&lt;250,E72*'Reference Curves'!$U$283+'Reference Curves'!$U$284,E72*'Reference Curves'!$V$283+'Reference Curves'!$V$284))),2))</f>
        <v/>
      </c>
      <c r="F103" s="150" t="str">
        <f>IF(F72="","",ROUND(IF(AND(F72&gt;=250,F72&lt;=330),1,IF(F72&gt;=366,0.5,IF(F72&lt;250,F72*'Reference Curves'!$U$283+'Reference Curves'!$U$284,F72*'Reference Curves'!$V$283+'Reference Curves'!$V$284))),2))</f>
        <v/>
      </c>
      <c r="G103" s="153" t="str">
        <f>IF(G72="","",ROUND(IF(AND(G72&gt;=250,G72&lt;=330),1,IF(G72&gt;=366,0.5,IF(G72&lt;250,G72*'Reference Curves'!$U$283+'Reference Curves'!$U$284,G72*'Reference Curves'!$V$283+'Reference Curves'!$V$284))),2))</f>
        <v/>
      </c>
      <c r="H103" s="150" t="str">
        <f>IF(H72="","",ROUND(IF(AND(H72&gt;=250,H72&lt;=330),1,IF(H72&gt;=366,0.5,IF(H72&lt;250,H72*'Reference Curves'!$U$283+'Reference Curves'!$U$284,H72*'Reference Curves'!$V$283+'Reference Curves'!$V$284))),2))</f>
        <v/>
      </c>
      <c r="I103" s="153" t="str">
        <f>IF(I72="","",ROUND(IF(AND(I72&gt;=250,I72&lt;=330),1,IF(I72&gt;=366,0.5,IF(I72&lt;250,I72*'Reference Curves'!$U$283+'Reference Curves'!$U$284,I72*'Reference Curves'!$V$283+'Reference Curves'!$V$284))),2))</f>
        <v/>
      </c>
      <c r="J103" s="150" t="str">
        <f>IF(J72="","",ROUND(IF(AND(J72&gt;=250,J72&lt;=330),1,IF(J72&gt;=366,0.5,IF(J72&lt;250,J72*'Reference Curves'!$U$283+'Reference Curves'!$U$284,J72*'Reference Curves'!$V$283+'Reference Curves'!$V$284))),2))</f>
        <v/>
      </c>
      <c r="K103" s="150" t="str">
        <f>IF(K72="","",ROUND(IF(AND(K72&gt;=250,K72&lt;=330),1,IF(K72&gt;=366,0.5,IF(K72&lt;250,K72*'Reference Curves'!$U$283+'Reference Curves'!$U$284,K72*'Reference Curves'!$V$283+'Reference Curves'!$V$284))),2))</f>
        <v/>
      </c>
      <c r="L103" s="150" t="str">
        <f>IF(L72="","",ROUND(IF(AND(L72&gt;=250,L72&lt;=330),1,IF(L72&gt;=366,0.5,IF(L72&lt;250,L72*'Reference Curves'!$U$283+'Reference Curves'!$U$284,L72*'Reference Curves'!$V$283+'Reference Curves'!$V$284))),2))</f>
        <v/>
      </c>
      <c r="M103" s="150" t="str">
        <f>IF(M72="","",ROUND(IF(AND(M72&gt;=250,M72&lt;=330),1,IF(M72&gt;=366,0.5,IF(M72&lt;250,M72*'Reference Curves'!$U$283+'Reference Curves'!$U$284,M72*'Reference Curves'!$V$283+'Reference Curves'!$V$284))),2))</f>
        <v/>
      </c>
      <c r="N103" s="150" t="str">
        <f>IF(N72="","",ROUND(IF(AND(N72&gt;=250,N72&lt;=330),1,IF(N72&gt;=366,0.5,IF(N72&lt;250,N72*'Reference Curves'!$U$283+'Reference Curves'!$U$284,N72*'Reference Curves'!$V$283+'Reference Curves'!$V$284))),2))</f>
        <v/>
      </c>
      <c r="O103" s="153" t="str">
        <f>IF(O72="","",ROUND(IF(AND(O72&gt;=250,O72&lt;=330),1,IF(O72&gt;=366,0.5,IF(O72&lt;250,O72*'Reference Curves'!$U$283+'Reference Curves'!$U$284,O72*'Reference Curves'!$V$283+'Reference Curves'!$V$284))),2))</f>
        <v/>
      </c>
    </row>
    <row r="104" spans="1:15" ht="15.5" x14ac:dyDescent="0.35">
      <c r="A104" s="421"/>
      <c r="B104" s="403"/>
      <c r="C104" s="104" t="s">
        <v>147</v>
      </c>
      <c r="D104" s="113"/>
      <c r="E104" s="153" t="str">
        <f>IF(E73="","",ROUND(IF(AND(E73&gt;=250,E73&lt;=330),1,IF(E73&gt;=366,0.5,IF(E73&lt;250,E73*'Reference Curves'!$U$283+'Reference Curves'!$U$284,E73*'Reference Curves'!$V$283+'Reference Curves'!$V$284))),2))</f>
        <v/>
      </c>
      <c r="F104" s="150" t="str">
        <f>IF(F73="","",ROUND(IF(AND(F73&gt;=250,F73&lt;=330),1,IF(F73&gt;=366,0.5,IF(F73&lt;250,F73*'Reference Curves'!$U$283+'Reference Curves'!$U$284,F73*'Reference Curves'!$V$283+'Reference Curves'!$V$284))),2))</f>
        <v/>
      </c>
      <c r="G104" s="150" t="str">
        <f>IF(G73="","",ROUND(IF(AND(G73&gt;=250,G73&lt;=330),1,IF(G73&gt;=366,0.5,IF(G73&lt;250,G73*'Reference Curves'!$U$283+'Reference Curves'!$U$284,G73*'Reference Curves'!$V$283+'Reference Curves'!$V$284))),2))</f>
        <v/>
      </c>
      <c r="H104" s="150" t="str">
        <f>IF(H73="","",ROUND(IF(AND(H73&gt;=250,H73&lt;=330),1,IF(H73&gt;=366,0.5,IF(H73&lt;250,H73*'Reference Curves'!$U$283+'Reference Curves'!$U$284,H73*'Reference Curves'!$V$283+'Reference Curves'!$V$284))),2))</f>
        <v/>
      </c>
      <c r="I104" s="150" t="str">
        <f>IF(I73="","",ROUND(IF(AND(I73&gt;=250,I73&lt;=330),1,IF(I73&gt;=366,0.5,IF(I73&lt;250,I73*'Reference Curves'!$U$283+'Reference Curves'!$U$284,I73*'Reference Curves'!$V$283+'Reference Curves'!$V$284))),2))</f>
        <v/>
      </c>
      <c r="J104" s="150" t="str">
        <f>IF(J73="","",ROUND(IF(AND(J73&gt;=250,J73&lt;=330),1,IF(J73&gt;=366,0.5,IF(J73&lt;250,J73*'Reference Curves'!$U$283+'Reference Curves'!$U$284,J73*'Reference Curves'!$V$283+'Reference Curves'!$V$284))),2))</f>
        <v/>
      </c>
      <c r="K104" s="150" t="str">
        <f>IF(K73="","",ROUND(IF(AND(K73&gt;=250,K73&lt;=330),1,IF(K73&gt;=366,0.5,IF(K73&lt;250,K73*'Reference Curves'!$U$283+'Reference Curves'!$U$284,K73*'Reference Curves'!$V$283+'Reference Curves'!$V$284))),2))</f>
        <v/>
      </c>
      <c r="L104" s="150" t="str">
        <f>IF(L73="","",ROUND(IF(AND(L73&gt;=250,L73&lt;=330),1,IF(L73&gt;=366,0.5,IF(L73&lt;250,L73*'Reference Curves'!$U$283+'Reference Curves'!$U$284,L73*'Reference Curves'!$V$283+'Reference Curves'!$V$284))),2))</f>
        <v/>
      </c>
      <c r="M104" s="150" t="str">
        <f>IF(M73="","",ROUND(IF(AND(M73&gt;=250,M73&lt;=330),1,IF(M73&gt;=366,0.5,IF(M73&lt;250,M73*'Reference Curves'!$U$283+'Reference Curves'!$U$284,M73*'Reference Curves'!$V$283+'Reference Curves'!$V$284))),2))</f>
        <v/>
      </c>
      <c r="N104" s="150" t="str">
        <f>IF(N73="","",ROUND(IF(AND(N73&gt;=250,N73&lt;=330),1,IF(N73&gt;=366,0.5,IF(N73&lt;250,N73*'Reference Curves'!$U$283+'Reference Curves'!$U$284,N73*'Reference Curves'!$V$283+'Reference Curves'!$V$284))),2))</f>
        <v/>
      </c>
      <c r="O104" s="153" t="str">
        <f>IF(O73="","",ROUND(IF(AND(O73&gt;=250,O73&lt;=330),1,IF(O73&gt;=366,0.5,IF(O73&lt;250,O73*'Reference Curves'!$U$283+'Reference Curves'!$U$284,O73*'Reference Curves'!$V$283+'Reference Curves'!$V$284))),2))</f>
        <v/>
      </c>
    </row>
    <row r="105" spans="1:15" ht="15.5" x14ac:dyDescent="0.35">
      <c r="A105" s="421"/>
      <c r="B105" s="403"/>
      <c r="C105" s="104" t="s">
        <v>138</v>
      </c>
      <c r="D105" s="113"/>
      <c r="E105" s="518" t="str">
        <f>IF(E74="","",ROUND(IF(E74=0,1,IF(E74&gt;=50,0,'Reference Curves'!$U$318*E74+'Reference Curves'!$U$319)),2))</f>
        <v/>
      </c>
      <c r="F105" s="153" t="str">
        <f>IF(F74="","",IF(F74&gt;=50,0.7,IF(F74&lt;33,'Reference Curves'!$U$318*F74^2+'Reference Curves'!$U$319*F74+'Reference Curves'!$P$389,F74*'Reference Curves'!$V$318+'Reference Curves'!$V$319)))</f>
        <v/>
      </c>
      <c r="G105" s="153" t="str">
        <f>IF(G74="","",IF(G74&gt;=50,0.7,IF(G74&lt;33,'Reference Curves'!$U$318*G74^2+'Reference Curves'!$U$319*G74+'Reference Curves'!$P$389,G74*'Reference Curves'!$V$318+'Reference Curves'!$V$319)))</f>
        <v/>
      </c>
      <c r="H105" s="153" t="str">
        <f>IF(H74="","",IF(H74&gt;=50,0.7,IF(H74&lt;33,'Reference Curves'!$U$318*H74^2+'Reference Curves'!$U$319*H74+'Reference Curves'!$P$389,H74*'Reference Curves'!$V$318+'Reference Curves'!$V$319)))</f>
        <v/>
      </c>
      <c r="I105" s="153" t="str">
        <f>IF(I74="","",IF(I74&gt;=50,0.7,IF(I74&lt;33,'Reference Curves'!$U$318*I74^2+'Reference Curves'!$U$319*I74+'Reference Curves'!$P$389,I74*'Reference Curves'!$V$318+'Reference Curves'!$V$319)))</f>
        <v/>
      </c>
      <c r="J105" s="153" t="str">
        <f>IF(J74="","",IF(J74&gt;=50,0.7,IF(J74&lt;33,'Reference Curves'!$U$318*J74^2+'Reference Curves'!$U$319*J74+'Reference Curves'!$P$389,J74*'Reference Curves'!$V$318+'Reference Curves'!$V$319)))</f>
        <v/>
      </c>
      <c r="K105" s="153" t="str">
        <f>IF(K74="","",IF(K74&gt;=50,0.7,IF(K74&lt;33,'Reference Curves'!$U$318*K74^2+'Reference Curves'!$U$319*K74+'Reference Curves'!$P$389,K74*'Reference Curves'!$V$318+'Reference Curves'!$V$319)))</f>
        <v/>
      </c>
      <c r="L105" s="153" t="str">
        <f>IF(L74="","",IF(L74&gt;=50,0.7,IF(L74&lt;33,'Reference Curves'!$U$318*L74^2+'Reference Curves'!$U$319*L74+'Reference Curves'!$P$389,L74*'Reference Curves'!$V$318+'Reference Curves'!$V$319)))</f>
        <v/>
      </c>
      <c r="M105" s="153" t="str">
        <f>IF(M74="","",IF(M74&gt;=50,0.7,IF(M74&lt;33,'Reference Curves'!$U$318*M74^2+'Reference Curves'!$U$319*M74+'Reference Curves'!$P$389,M74*'Reference Curves'!$V$318+'Reference Curves'!$V$319)))</f>
        <v/>
      </c>
      <c r="N105" s="153" t="str">
        <f>IF(N74="","",IF(N74&gt;=50,0.7,IF(N74&lt;33,'Reference Curves'!$U$318*N74^2+'Reference Curves'!$U$319*N74+'Reference Curves'!$P$389,N74*'Reference Curves'!$V$318+'Reference Curves'!$V$319)))</f>
        <v/>
      </c>
      <c r="O105" s="153" t="str">
        <f>IF(O74="","",IF(O74&gt;=50,0.7,IF(O74&lt;33,'Reference Curves'!$U$318*O74^2+'Reference Curves'!$U$319*O74+'Reference Curves'!$P$389,O74*'Reference Curves'!$V$318+'Reference Curves'!$V$319)))</f>
        <v/>
      </c>
    </row>
    <row r="106" spans="1:15" ht="15.5" x14ac:dyDescent="0.35">
      <c r="A106" s="421"/>
      <c r="B106" s="403"/>
      <c r="C106" s="104" t="s">
        <v>139</v>
      </c>
      <c r="D106" s="122"/>
      <c r="E106" s="519" t="str">
        <f>IF(E75="","",ROUND(IF(E75=0,1,IF(E75&gt;=50,0,'Reference Curves'!$U$318*E75+'Reference Curves'!$U$319)),2))</f>
        <v/>
      </c>
      <c r="F106" s="153" t="str">
        <f>IF(F75="","",IF(F75&gt;=50,0.7,IF(F75&lt;33,'Reference Curves'!$U$318*F75^2+'Reference Curves'!$U$319*F75+'Reference Curves'!$P$389,F75*'Reference Curves'!$V$318+'Reference Curves'!$V$319)))</f>
        <v/>
      </c>
      <c r="G106" s="153" t="str">
        <f>IF(G75="","",IF(G75&gt;=50,0.7,IF(G75&lt;33,'Reference Curves'!$U$318*G75^2+'Reference Curves'!$U$319*G75+'Reference Curves'!$P$389,G75*'Reference Curves'!$V$318+'Reference Curves'!$V$319)))</f>
        <v/>
      </c>
      <c r="H106" s="153" t="str">
        <f>IF(H75="","",IF(H75&gt;=50,0.7,IF(H75&lt;33,'Reference Curves'!$U$318*H75^2+'Reference Curves'!$U$319*H75+'Reference Curves'!$P$389,H75*'Reference Curves'!$V$318+'Reference Curves'!$V$319)))</f>
        <v/>
      </c>
      <c r="I106" s="153" t="str">
        <f>IF(I75="","",IF(I75&gt;=50,0.7,IF(I75&lt;33,'Reference Curves'!$U$318*I75^2+'Reference Curves'!$U$319*I75+'Reference Curves'!$P$389,I75*'Reference Curves'!$V$318+'Reference Curves'!$V$319)))</f>
        <v/>
      </c>
      <c r="J106" s="153" t="str">
        <f>IF(J75="","",IF(J75&gt;=50,0.7,IF(J75&lt;33,'Reference Curves'!$U$318*J75^2+'Reference Curves'!$U$319*J75+'Reference Curves'!$P$389,J75*'Reference Curves'!$V$318+'Reference Curves'!$V$319)))</f>
        <v/>
      </c>
      <c r="K106" s="153" t="str">
        <f>IF(K75="","",IF(K75&gt;=50,0.7,IF(K75&lt;33,'Reference Curves'!$U$318*K75^2+'Reference Curves'!$U$319*K75+'Reference Curves'!$P$389,K75*'Reference Curves'!$V$318+'Reference Curves'!$V$319)))</f>
        <v/>
      </c>
      <c r="L106" s="153" t="str">
        <f>IF(L75="","",IF(L75&gt;=50,0.7,IF(L75&lt;33,'Reference Curves'!$U$318*L75^2+'Reference Curves'!$U$319*L75+'Reference Curves'!$P$389,L75*'Reference Curves'!$V$318+'Reference Curves'!$V$319)))</f>
        <v/>
      </c>
      <c r="M106" s="153" t="str">
        <f>IF(M75="","",IF(M75&gt;=50,0.7,IF(M75&lt;33,'Reference Curves'!$U$318*M75^2+'Reference Curves'!$U$319*M75+'Reference Curves'!$P$389,M75*'Reference Curves'!$V$318+'Reference Curves'!$V$319)))</f>
        <v/>
      </c>
      <c r="N106" s="153" t="str">
        <f>IF(N75="","",IF(N75&gt;=50,0.7,IF(N75&lt;33,'Reference Curves'!$U$318*N75^2+'Reference Curves'!$U$319*N75+'Reference Curves'!$P$389,N75*'Reference Curves'!$V$318+'Reference Curves'!$V$319)))</f>
        <v/>
      </c>
      <c r="O106" s="153" t="str">
        <f>IF(O75="","",IF(O75&gt;=50,0.7,IF(O75&lt;33,'Reference Curves'!$U$318*O75^2+'Reference Curves'!$U$319*O75+'Reference Curves'!$P$389,O75*'Reference Curves'!$V$318+'Reference Curves'!$V$319)))</f>
        <v/>
      </c>
    </row>
    <row r="107" spans="1:15" ht="15.5" x14ac:dyDescent="0.35">
      <c r="A107" s="421"/>
      <c r="B107" s="404" t="s">
        <v>69</v>
      </c>
      <c r="C107" s="109" t="s">
        <v>70</v>
      </c>
      <c r="D107" s="110"/>
      <c r="E107" s="158" t="str">
        <f>IF(E76="","",IF($C$11="Bc", ROUND(IF(E76&lt;=5,1,IF(E76&gt;=8,0, E76^2*'Reference Curves'!$U$420+E76*'Reference Curves'!$U$421+'Reference Curves'!$U$422) ),2),
IF(LEFT($C$11,1)="B",ROUND(IF(E76&lt;=4,1,IF(E76&gt;=6.5,0, E76^2*'Reference Curves'!$U$388+E76*'Reference Curves'!$U$389+'Reference Curves'!$U$390) ),2),
IF(OR(LEFT($C$11,1)="E",LEFT($C$11,1)="C"),ROUND(IF(OR(E76&gt;=9,E76&lt;=1),0, IF(AND(E76&gt;=3.5,E76&lt;=6),1, IF(E76&lt;3.5,E76*'Reference Curves'!$U$454+'Reference Curves'!$U$455,E76*'Reference Curves'!$V$454+'Reference Curves'!$V$455 )) ),2)))  ))</f>
        <v/>
      </c>
      <c r="F107" s="159" t="str">
        <f>IF(F76="","",IF($C$11="Bc", ROUND(IF(F76&lt;=5,1,IF(F76&gt;=8,0, F76^2*'Reference Curves'!$U$420+F76*'Reference Curves'!$U$421+'Reference Curves'!$U$422) ),2),
IF(LEFT($C$11,1)="B",ROUND(IF(F76&lt;=4,1,IF(F76&gt;=6.5,0, F76^2*'Reference Curves'!$U$388+F76*'Reference Curves'!$U$389+'Reference Curves'!$U$390) ),2),
IF(OR(LEFT($C$11,1)="E",LEFT($C$11,1)="C"),ROUND(IF(OR(F76&gt;=9,F76&lt;=1),0, IF(AND(F76&gt;=3.5,F76&lt;=6),1, IF(F76&lt;3.5,F76*'Reference Curves'!$U$454+'Reference Curves'!$U$455,F76*'Reference Curves'!$V$454+'Reference Curves'!$V$455 )) ),2)))  ))</f>
        <v/>
      </c>
      <c r="G107" s="159" t="str">
        <f>IF(G76="","",IF($C$11="Bc", ROUND(IF(G76&lt;=5,1,IF(G76&gt;=8,0, G76^2*'Reference Curves'!$U$420+G76*'Reference Curves'!$U$421+'Reference Curves'!$U$422) ),2),
IF(LEFT($C$11,1)="B",ROUND(IF(G76&lt;=4,1,IF(G76&gt;=6.5,0, G76^2*'Reference Curves'!$U$388+G76*'Reference Curves'!$U$389+'Reference Curves'!$U$390) ),2),
IF(OR(LEFT($C$11,1)="E",LEFT($C$11,1)="C"),ROUND(IF(OR(G76&gt;=9,G76&lt;=1),0, IF(AND(G76&gt;=3.5,G76&lt;=6),1, IF(G76&lt;3.5,G76*'Reference Curves'!$U$454+'Reference Curves'!$U$455,G76*'Reference Curves'!$V$454+'Reference Curves'!$V$455 )) ),2)))  ))</f>
        <v/>
      </c>
      <c r="H107" s="159" t="str">
        <f>IF(H76="","",IF($C$11="Bc", ROUND(IF(H76&lt;=5,1,IF(H76&gt;=8,0, H76^2*'Reference Curves'!$U$420+H76*'Reference Curves'!$U$421+'Reference Curves'!$U$422) ),2),
IF(LEFT($C$11,1)="B",ROUND(IF(H76&lt;=4,1,IF(H76&gt;=6.5,0, H76^2*'Reference Curves'!$U$388+H76*'Reference Curves'!$U$389+'Reference Curves'!$U$390) ),2),
IF(OR(LEFT($C$11,1)="E",LEFT($C$11,1)="C"),ROUND(IF(OR(H76&gt;=9,H76&lt;=1),0, IF(AND(H76&gt;=3.5,H76&lt;=6),1, IF(H76&lt;3.5,H76*'Reference Curves'!$U$454+'Reference Curves'!$U$455,H76*'Reference Curves'!$V$454+'Reference Curves'!$V$455 )) ),2)))  ))</f>
        <v/>
      </c>
      <c r="I107" s="159" t="str">
        <f>IF(I76="","",IF($C$11="Bc", ROUND(IF(I76&lt;=5,1,IF(I76&gt;=8,0, I76^2*'Reference Curves'!$U$420+I76*'Reference Curves'!$U$421+'Reference Curves'!$U$422) ),2),
IF(LEFT($C$11,1)="B",ROUND(IF(I76&lt;=4,1,IF(I76&gt;=6.5,0, I76^2*'Reference Curves'!$U$388+I76*'Reference Curves'!$U$389+'Reference Curves'!$U$390) ),2),
IF(OR(LEFT($C$11,1)="E",LEFT($C$11,1)="C"),ROUND(IF(OR(I76&gt;=9,I76&lt;=1),0, IF(AND(I76&gt;=3.5,I76&lt;=6),1, IF(I76&lt;3.5,I76*'Reference Curves'!$U$454+'Reference Curves'!$U$455,I76*'Reference Curves'!$V$454+'Reference Curves'!$V$455 )) ),2)))  ))</f>
        <v/>
      </c>
      <c r="J107" s="159" t="str">
        <f>IF(J76="","",IF($C$11="Bc", ROUND(IF(J76&lt;=5,1,IF(J76&gt;=8,0, J76^2*'Reference Curves'!$U$420+J76*'Reference Curves'!$U$421+'Reference Curves'!$U$422) ),2),
IF(LEFT($C$11,1)="B",ROUND(IF(J76&lt;=4,1,IF(J76&gt;=6.5,0, J76^2*'Reference Curves'!$U$388+J76*'Reference Curves'!$U$389+'Reference Curves'!$U$390) ),2),
IF(OR(LEFT($C$11,1)="E",LEFT($C$11,1)="C"),ROUND(IF(OR(J76&gt;=9,J76&lt;=1),0, IF(AND(J76&gt;=3.5,J76&lt;=6),1, IF(J76&lt;3.5,J76*'Reference Curves'!$U$454+'Reference Curves'!$U$455,J76*'Reference Curves'!$V$454+'Reference Curves'!$V$455 )) ),2)))  ))</f>
        <v/>
      </c>
      <c r="K107" s="159" t="str">
        <f>IF(K76="","",IF($C$11="Bc", ROUND(IF(K76&lt;=5,1,IF(K76&gt;=8,0, K76^2*'Reference Curves'!$U$420+K76*'Reference Curves'!$U$421+'Reference Curves'!$U$422) ),2),
IF(LEFT($C$11,1)="B",ROUND(IF(K76&lt;=4,1,IF(K76&gt;=6.5,0, K76^2*'Reference Curves'!$U$388+K76*'Reference Curves'!$U$389+'Reference Curves'!$U$390) ),2),
IF(OR(LEFT($C$11,1)="E",LEFT($C$11,1)="C"),ROUND(IF(OR(K76&gt;=9,K76&lt;=1),0, IF(AND(K76&gt;=3.5,K76&lt;=6),1, IF(K76&lt;3.5,K76*'Reference Curves'!$U$454+'Reference Curves'!$U$455,K76*'Reference Curves'!$V$454+'Reference Curves'!$V$455 )) ),2)))  ))</f>
        <v/>
      </c>
      <c r="L107" s="159" t="str">
        <f>IF(L76="","",IF($C$11="Bc", ROUND(IF(L76&lt;=5,1,IF(L76&gt;=8,0, L76^2*'Reference Curves'!$U$420+L76*'Reference Curves'!$U$421+'Reference Curves'!$U$422) ),2),
IF(LEFT($C$11,1)="B",ROUND(IF(L76&lt;=4,1,IF(L76&gt;=6.5,0, L76^2*'Reference Curves'!$U$388+L76*'Reference Curves'!$U$389+'Reference Curves'!$U$390) ),2),
IF(OR(LEFT($C$11,1)="E",LEFT($C$11,1)="C"),ROUND(IF(OR(L76&gt;=9,L76&lt;=1),0, IF(AND(L76&gt;=3.5,L76&lt;=6),1, IF(L76&lt;3.5,L76*'Reference Curves'!$U$454+'Reference Curves'!$U$455,L76*'Reference Curves'!$V$454+'Reference Curves'!$V$455 )) ),2)))  ))</f>
        <v/>
      </c>
      <c r="M107" s="160" t="str">
        <f>IF(M76="","",IF($C$11="Bc", ROUND(IF(M76&lt;=5,1,IF(M76&gt;=8,0, M76^2*'Reference Curves'!$U$420+M76*'Reference Curves'!$U$421+'Reference Curves'!$U$422) ),2),
IF(LEFT($C$11,1)="B",ROUND(IF(M76&lt;=4,1,IF(M76&gt;=6.5,0, M76^2*'Reference Curves'!$U$388+M76*'Reference Curves'!$U$389+'Reference Curves'!$U$390) ),2),
IF(OR(LEFT($C$11,1)="E",LEFT($C$11,1)="C"),ROUND(IF(OR(M76&gt;=9,M76&lt;=1),0, IF(AND(M76&gt;=3.5,M76&lt;=6),1, IF(M76&lt;3.5,M76*'Reference Curves'!$U$454+'Reference Curves'!$U$455,M76*'Reference Curves'!$V$454+'Reference Curves'!$V$455 )) ),2)))  ))</f>
        <v/>
      </c>
      <c r="N107" s="159" t="str">
        <f>IF(N76="","",IF($C$11="Bc", ROUND(IF(N76&lt;=5,1,IF(N76&gt;=8,0, N76^2*'Reference Curves'!$U$420+N76*'Reference Curves'!$U$421+'Reference Curves'!$U$422) ),2),
IF(LEFT($C$11,1)="B",ROUND(IF(N76&lt;=4,1,IF(N76&gt;=6.5,0, N76^2*'Reference Curves'!$U$388+N76*'Reference Curves'!$U$389+'Reference Curves'!$U$390) ),2),
IF(OR(LEFT($C$11,1)="E",LEFT($C$11,1)="C"),ROUND(IF(OR(N76&gt;=9,N76&lt;=1),0, IF(AND(N76&gt;=3.5,N76&lt;=6),1, IF(N76&lt;3.5,N76*'Reference Curves'!$U$454+'Reference Curves'!$U$455,N76*'Reference Curves'!$V$454+'Reference Curves'!$V$455 )) ),2)))  ))</f>
        <v/>
      </c>
      <c r="O107" s="158" t="str">
        <f>IF(O76="","",IF($C$11="Bc", ROUND(IF(O76&lt;=5,1,IF(O76&gt;=8,0, O76^2*'Reference Curves'!$U$420+O76*'Reference Curves'!$U$421+'Reference Curves'!$U$422) ),2),
IF(LEFT($C$11,1)="B",ROUND(IF(O76&lt;=4,1,IF(O76&gt;=6.5,0, O76^2*'Reference Curves'!$U$388+O76*'Reference Curves'!$U$389+'Reference Curves'!$U$390) ),2),
IF(OR(LEFT($C$11,1)="E",LEFT($C$11,1)="C"),ROUND(IF(OR(O76&gt;=9,O76&lt;=1),0, IF(AND(O76&gt;=3.5,O76&lt;=6),1, IF(O76&lt;3.5,O76*'Reference Curves'!$U$454+'Reference Curves'!$U$455,O76*'Reference Curves'!$V$454+'Reference Curves'!$V$455 )) ),2)))  ))</f>
        <v/>
      </c>
    </row>
    <row r="108" spans="1:15" ht="15.5" x14ac:dyDescent="0.35">
      <c r="A108" s="421"/>
      <c r="B108" s="405"/>
      <c r="C108" s="104" t="s">
        <v>71</v>
      </c>
      <c r="D108" s="100"/>
      <c r="E108" s="152" t="str">
        <f>IF(E77="","",IF(LEFT($C$11,1)="A",
IF(E77&gt;=1.7,1,
IF(E77&lt;=1,0,
ROUND(IF(E77&lt;=1.1,E77*'Reference Curves'!$U$489+'Reference Curves'!$U$490,
(IF(E77&gt;=1.4,E77*'Reference Curves'!$W$489+'Reference Curves'!$W$490,
E77*'Reference Curves'!$V$489+'Reference Curves'!$V$490))),2))),
IF(LEFT($C$11,1)="B",
IF(E77&gt;=2.9,1,
IF(E77&lt;=1,0,
ROUND(IF(E77&lt;=2,E77*'Reference Curves'!$U$522+'Reference Curves'!$U$523,
(IF(E77&gt;=2.3,E77*'Reference Curves'!$W$522+'Reference Curves'!$W$523,
E77*'Reference Curves'!$V$522+'Reference Curves'!$V$523))),2))),IF(LEFT($C$11,1)="C",
IF(E77&gt;=2.3,1,
IF(E77&lt;=1,0,
ROUND(IF(E77&lt;=1.2,E77*'Reference Curves'!$V$554+'Reference Curves'!$V$555,
(E77^2)*'Reference Curves'!$U$554+E77*'Reference Curves'!$U$555+'Reference Curves'!$U$556),2))),IF(LEFT($C$11,1)="E",IF(E77&gt;=2.1,1,
IF(E77&lt;=1,0,
ROUND(IF(E77&lt;=1.7,E77^2*'Reference Curves'!$U$589+E77*'Reference Curves'!$U$590+'Reference Curves'!$U$591,
E77*'Reference Curves'!$V$589+'Reference Curves'!$V$590),2))))))))</f>
        <v/>
      </c>
      <c r="F108" s="150" t="str">
        <f>IF(F77="","",IF(LEFT($C$11,1)="A",
IF(F77&gt;=1.7,1,
IF(F77&lt;=1,0,
ROUND(IF(F77&lt;=1.1,F77*'Reference Curves'!$U$489+'Reference Curves'!$U$490,
(IF(F77&gt;=1.4,F77*'Reference Curves'!$W$489+'Reference Curves'!$W$490,
F77*'Reference Curves'!$V$489+'Reference Curves'!$V$490))),2))),
IF(LEFT($C$11,1)="B",
IF(F77&gt;=2.9,1,
IF(F77&lt;=1,0,
ROUND(IF(F77&lt;=2,F77*'Reference Curves'!$U$522+'Reference Curves'!$U$523,
(IF(F77&gt;=2.3,F77*'Reference Curves'!$W$522+'Reference Curves'!$W$523,
F77*'Reference Curves'!$V$522+'Reference Curves'!$V$523))),2))),IF(LEFT($C$11,1)="C",
IF(F77&gt;=2.3,1,
IF(F77&lt;=1,0,
ROUND(IF(F77&lt;=1.2,F77*'Reference Curves'!$V$554+'Reference Curves'!$V$555,
(F77^2)*'Reference Curves'!$U$554+F77*'Reference Curves'!$U$555+'Reference Curves'!$U$556),2))),IF(LEFT($C$11,1)="E",IF(F77&gt;=2.1,1,
IF(F77&lt;=1,0,
ROUND(IF(F77&lt;=1.7,F77^2*'Reference Curves'!$U$589+F77*'Reference Curves'!$U$590+'Reference Curves'!$U$591,
F77*'Reference Curves'!$V$589+'Reference Curves'!$V$590),2))))))))</f>
        <v/>
      </c>
      <c r="G108" s="161" t="str">
        <f>IF(G77="","",IF(LEFT($C$11,1)="A",
IF(G77&gt;=1.7,1,
IF(G77&lt;=1,0,
ROUND(IF(G77&lt;=1.1,G77*'Reference Curves'!$U$489+'Reference Curves'!$U$490,
(IF(G77&gt;=1.4,G77*'Reference Curves'!$W$489+'Reference Curves'!$W$490,
G77*'Reference Curves'!$V$489+'Reference Curves'!$V$490))),2))),
IF(LEFT($C$11,1)="B",
IF(G77&gt;=2.9,1,
IF(G77&lt;=1,0,
ROUND(IF(G77&lt;=2,G77*'Reference Curves'!$U$522+'Reference Curves'!$U$523,
(IF(G77&gt;=2.3,G77*'Reference Curves'!$W$522+'Reference Curves'!$W$523,
G77*'Reference Curves'!$V$522+'Reference Curves'!$V$523))),2))),IF(LEFT($C$11,1)="C",
IF(G77&gt;=2.3,1,
IF(G77&lt;=1,0,
ROUND(IF(G77&lt;=1.2,G77*'Reference Curves'!$V$554+'Reference Curves'!$V$555,
(G77^2)*'Reference Curves'!$U$554+G77*'Reference Curves'!$U$555+'Reference Curves'!$U$556),2))),IF(LEFT($C$11,1)="E",IF(G77&gt;=2.1,1,
IF(G77&lt;=1,0,
ROUND(IF(G77&lt;=1.7,G77^2*'Reference Curves'!$U$589+G77*'Reference Curves'!$U$590+'Reference Curves'!$U$591,
G77*'Reference Curves'!$V$589+'Reference Curves'!$V$590),2))))))))</f>
        <v/>
      </c>
      <c r="H108" s="150" t="str">
        <f>IF(H77="","",IF(LEFT($C$11,1)="A",
IF(H77&gt;=1.7,1,
IF(H77&lt;=1,0,
ROUND(IF(H77&lt;=1.1,H77*'Reference Curves'!$U$489+'Reference Curves'!$U$490,
(IF(H77&gt;=1.4,H77*'Reference Curves'!$W$489+'Reference Curves'!$W$490,
H77*'Reference Curves'!$V$489+'Reference Curves'!$V$490))),2))),
IF(LEFT($C$11,1)="B",
IF(H77&gt;=2.9,1,
IF(H77&lt;=1,0,
ROUND(IF(H77&lt;=2,H77*'Reference Curves'!$U$522+'Reference Curves'!$U$523,
(IF(H77&gt;=2.3,H77*'Reference Curves'!$W$522+'Reference Curves'!$W$523,
H77*'Reference Curves'!$V$522+'Reference Curves'!$V$523))),2))),IF(LEFT($C$11,1)="C",
IF(H77&gt;=2.3,1,
IF(H77&lt;=1,0,
ROUND(IF(H77&lt;=1.2,H77*'Reference Curves'!$V$554+'Reference Curves'!$V$555,
(H77^2)*'Reference Curves'!$U$554+H77*'Reference Curves'!$U$555+'Reference Curves'!$U$556),2))),IF(LEFT($C$11,1)="E",IF(H77&gt;=2.1,1,
IF(H77&lt;=1,0,
ROUND(IF(H77&lt;=1.7,H77^2*'Reference Curves'!$U$589+H77*'Reference Curves'!$U$590+'Reference Curves'!$U$591,
H77*'Reference Curves'!$V$589+'Reference Curves'!$V$590),2))))))))</f>
        <v/>
      </c>
      <c r="I108" s="150" t="str">
        <f>IF(I77="","",IF(LEFT($C$11,1)="A",
IF(I77&gt;=1.7,1,
IF(I77&lt;=1,0,
ROUND(IF(I77&lt;=1.1,I77*'Reference Curves'!$U$489+'Reference Curves'!$U$490,
(IF(I77&gt;=1.4,I77*'Reference Curves'!$W$489+'Reference Curves'!$W$490,
I77*'Reference Curves'!$V$489+'Reference Curves'!$V$490))),2))),
IF(LEFT($C$11,1)="B",
IF(I77&gt;=2.9,1,
IF(I77&lt;=1,0,
ROUND(IF(I77&lt;=2,I77*'Reference Curves'!$U$522+'Reference Curves'!$U$523,
(IF(I77&gt;=2.3,I77*'Reference Curves'!$W$522+'Reference Curves'!$W$523,
I77*'Reference Curves'!$V$522+'Reference Curves'!$V$523))),2))),IF(LEFT($C$11,1)="C",
IF(I77&gt;=2.3,1,
IF(I77&lt;=1,0,
ROUND(IF(I77&lt;=1.2,I77*'Reference Curves'!$V$554+'Reference Curves'!$V$555,
(I77^2)*'Reference Curves'!$U$554+I77*'Reference Curves'!$U$555+'Reference Curves'!$U$556),2))),IF(LEFT($C$11,1)="E",IF(I77&gt;=2.1,1,
IF(I77&lt;=1,0,
ROUND(IF(I77&lt;=1.7,I77^2*'Reference Curves'!$U$589+I77*'Reference Curves'!$U$590+'Reference Curves'!$U$591,
I77*'Reference Curves'!$V$589+'Reference Curves'!$V$590),2))))))))</f>
        <v/>
      </c>
      <c r="J108" s="150" t="str">
        <f>IF(J77="","",IF(LEFT($C$11,1)="A",
IF(J77&gt;=1.7,1,
IF(J77&lt;=1,0,
ROUND(IF(J77&lt;=1.1,J77*'Reference Curves'!$U$489+'Reference Curves'!$U$490,
(IF(J77&gt;=1.4,J77*'Reference Curves'!$W$489+'Reference Curves'!$W$490,
J77*'Reference Curves'!$V$489+'Reference Curves'!$V$490))),2))),
IF(LEFT($C$11,1)="B",
IF(J77&gt;=2.9,1,
IF(J77&lt;=1,0,
ROUND(IF(J77&lt;=2,J77*'Reference Curves'!$U$522+'Reference Curves'!$U$523,
(IF(J77&gt;=2.3,J77*'Reference Curves'!$W$522+'Reference Curves'!$W$523,
J77*'Reference Curves'!$V$522+'Reference Curves'!$V$523))),2))),IF(LEFT($C$11,1)="C",
IF(J77&gt;=2.3,1,
IF(J77&lt;=1,0,
ROUND(IF(J77&lt;=1.2,J77*'Reference Curves'!$V$554+'Reference Curves'!$V$555,
(J77^2)*'Reference Curves'!$U$554+J77*'Reference Curves'!$U$555+'Reference Curves'!$U$556),2))),IF(LEFT($C$11,1)="E",IF(J77&gt;=2.1,1,
IF(J77&lt;=1,0,
ROUND(IF(J77&lt;=1.7,J77^2*'Reference Curves'!$U$589+J77*'Reference Curves'!$U$590+'Reference Curves'!$U$591,
J77*'Reference Curves'!$V$589+'Reference Curves'!$V$590),2))))))))</f>
        <v/>
      </c>
      <c r="K108" s="150" t="str">
        <f>IF(K77="","",IF(LEFT($C$11,1)="A",
IF(K77&gt;=1.7,1,
IF(K77&lt;=1,0,
ROUND(IF(K77&lt;=1.1,K77*'Reference Curves'!$U$489+'Reference Curves'!$U$490,
(IF(K77&gt;=1.4,K77*'Reference Curves'!$W$489+'Reference Curves'!$W$490,
K77*'Reference Curves'!$V$489+'Reference Curves'!$V$490))),2))),
IF(LEFT($C$11,1)="B",
IF(K77&gt;=2.9,1,
IF(K77&lt;=1,0,
ROUND(IF(K77&lt;=2,K77*'Reference Curves'!$U$522+'Reference Curves'!$U$523,
(IF(K77&gt;=2.3,K77*'Reference Curves'!$W$522+'Reference Curves'!$W$523,
K77*'Reference Curves'!$V$522+'Reference Curves'!$V$523))),2))),IF(LEFT($C$11,1)="C",
IF(K77&gt;=2.3,1,
IF(K77&lt;=1,0,
ROUND(IF(K77&lt;=1.2,K77*'Reference Curves'!$V$554+'Reference Curves'!$V$555,
(K77^2)*'Reference Curves'!$U$554+K77*'Reference Curves'!$U$555+'Reference Curves'!$U$556),2))),IF(LEFT($C$11,1)="E",IF(K77&gt;=2.1,1,
IF(K77&lt;=1,0,
ROUND(IF(K77&lt;=1.7,K77^2*'Reference Curves'!$U$589+K77*'Reference Curves'!$U$590+'Reference Curves'!$U$591,
K77*'Reference Curves'!$V$589+'Reference Curves'!$V$590),2))))))))</f>
        <v/>
      </c>
      <c r="L108" s="150" t="str">
        <f>IF(L77="","",IF(LEFT($C$11,1)="A",
IF(L77&gt;=1.7,1,
IF(L77&lt;=1,0,
ROUND(IF(L77&lt;=1.1,L77*'Reference Curves'!$U$489+'Reference Curves'!$U$490,
(IF(L77&gt;=1.4,L77*'Reference Curves'!$W$489+'Reference Curves'!$W$490,
L77*'Reference Curves'!$V$489+'Reference Curves'!$V$490))),2))),
IF(LEFT($C$11,1)="B",
IF(L77&gt;=2.9,1,
IF(L77&lt;=1,0,
ROUND(IF(L77&lt;=2,L77*'Reference Curves'!$U$522+'Reference Curves'!$U$523,
(IF(L77&gt;=2.3,L77*'Reference Curves'!$W$522+'Reference Curves'!$W$523,
L77*'Reference Curves'!$V$522+'Reference Curves'!$V$523))),2))),IF(LEFT($C$11,1)="C",
IF(L77&gt;=2.3,1,
IF(L77&lt;=1,0,
ROUND(IF(L77&lt;=1.2,L77*'Reference Curves'!$V$554+'Reference Curves'!$V$555,
(L77^2)*'Reference Curves'!$U$554+L77*'Reference Curves'!$U$555+'Reference Curves'!$U$556),2))),IF(LEFT($C$11,1)="E",IF(L77&gt;=2.1,1,
IF(L77&lt;=1,0,
ROUND(IF(L77&lt;=1.7,L77^2*'Reference Curves'!$U$589+L77*'Reference Curves'!$U$590+'Reference Curves'!$U$591,
L77*'Reference Curves'!$V$589+'Reference Curves'!$V$590),2))))))))</f>
        <v/>
      </c>
      <c r="M108" s="161" t="str">
        <f>IF(M77="","",IF(LEFT($C$11,1)="A",
IF(M77&gt;=1.7,1,
IF(M77&lt;=1,0,
ROUND(IF(M77&lt;=1.1,M77*'Reference Curves'!$U$489+'Reference Curves'!$U$490,
(IF(M77&gt;=1.4,M77*'Reference Curves'!$W$489+'Reference Curves'!$W$490,
M77*'Reference Curves'!$V$489+'Reference Curves'!$V$490))),2))),
IF(LEFT($C$11,1)="B",
IF(M77&gt;=2.9,1,
IF(M77&lt;=1,0,
ROUND(IF(M77&lt;=2,M77*'Reference Curves'!$U$522+'Reference Curves'!$U$523,
(IF(M77&gt;=2.3,M77*'Reference Curves'!$W$522+'Reference Curves'!$W$523,
M77*'Reference Curves'!$V$522+'Reference Curves'!$V$523))),2))),IF(LEFT($C$11,1)="C",
IF(M77&gt;=2.3,1,
IF(M77&lt;=1,0,
ROUND(IF(M77&lt;=1.2,M77*'Reference Curves'!$V$554+'Reference Curves'!$V$555,
(M77^2)*'Reference Curves'!$U$554+M77*'Reference Curves'!$U$555+'Reference Curves'!$U$556),2))),IF(LEFT($C$11,1)="E",IF(M77&gt;=2.1,1,
IF(M77&lt;=1,0,
ROUND(IF(M77&lt;=1.7,M77^2*'Reference Curves'!$U$589+M77*'Reference Curves'!$U$590+'Reference Curves'!$U$591,
M77*'Reference Curves'!$V$589+'Reference Curves'!$V$590),2))))))))</f>
        <v/>
      </c>
      <c r="N108" s="150" t="str">
        <f>IF(N77="","",IF(LEFT($C$11,1)="A",
IF(N77&gt;=1.7,1,
IF(N77&lt;=1,0,
ROUND(IF(N77&lt;=1.1,N77*'Reference Curves'!$U$489+'Reference Curves'!$U$490,
(IF(N77&gt;=1.4,N77*'Reference Curves'!$W$489+'Reference Curves'!$W$490,
N77*'Reference Curves'!$V$489+'Reference Curves'!$V$490))),2))),
IF(LEFT($C$11,1)="B",
IF(N77&gt;=2.9,1,
IF(N77&lt;=1,0,
ROUND(IF(N77&lt;=2,N77*'Reference Curves'!$U$522+'Reference Curves'!$U$523,
(IF(N77&gt;=2.3,N77*'Reference Curves'!$W$522+'Reference Curves'!$W$523,
N77*'Reference Curves'!$V$522+'Reference Curves'!$V$523))),2))),IF(LEFT($C$11,1)="C",
IF(N77&gt;=2.3,1,
IF(N77&lt;=1,0,
ROUND(IF(N77&lt;=1.2,N77*'Reference Curves'!$V$554+'Reference Curves'!$V$555,
(N77^2)*'Reference Curves'!$U$554+N77*'Reference Curves'!$U$555+'Reference Curves'!$U$556),2))),IF(LEFT($C$11,1)="E",IF(N77&gt;=2.1,1,
IF(N77&lt;=1,0,
ROUND(IF(N77&lt;=1.7,N77^2*'Reference Curves'!$U$589+N77*'Reference Curves'!$U$590+'Reference Curves'!$U$591,
N77*'Reference Curves'!$V$589+'Reference Curves'!$V$590),2))))))))</f>
        <v/>
      </c>
      <c r="O108" s="153" t="str">
        <f>IF(O77="","",IF(LEFT($C$11,1)="A",
IF(O77&gt;=1.7,1,
IF(O77&lt;=1,0,
ROUND(IF(O77&lt;=1.1,O77*'Reference Curves'!$U$489+'Reference Curves'!$U$490,
(IF(O77&gt;=1.4,O77*'Reference Curves'!$W$489+'Reference Curves'!$W$490,
O77*'Reference Curves'!$V$489+'Reference Curves'!$V$490))),2))),
IF(LEFT($C$11,1)="B",
IF(O77&gt;=2.9,1,
IF(O77&lt;=1,0,
ROUND(IF(O77&lt;=2,O77*'Reference Curves'!$U$522+'Reference Curves'!$U$523,
(IF(O77&gt;=2.3,O77*'Reference Curves'!$W$522+'Reference Curves'!$W$523,
O77*'Reference Curves'!$V$522+'Reference Curves'!$V$523))),2))),IF(LEFT($C$11,1)="C",
IF(O77&gt;=2.3,1,
IF(O77&lt;=1,0,
ROUND(IF(O77&lt;=1.2,O77*'Reference Curves'!$V$554+'Reference Curves'!$V$555,
(O77^2)*'Reference Curves'!$U$554+O77*'Reference Curves'!$U$555+'Reference Curves'!$U$556),2))),IF(LEFT($C$11,1)="E",IF(O77&gt;=2.1,1,
IF(O77&lt;=1,0,
ROUND(IF(O77&lt;=1.7,O77^2*'Reference Curves'!$U$589+O77*'Reference Curves'!$U$590+'Reference Curves'!$U$591,
O77*'Reference Curves'!$V$589+'Reference Curves'!$V$590),2))))))))</f>
        <v/>
      </c>
    </row>
    <row r="109" spans="1:15" ht="15.5" x14ac:dyDescent="0.35">
      <c r="A109" s="421"/>
      <c r="B109" s="405"/>
      <c r="C109" s="104" t="s">
        <v>72</v>
      </c>
      <c r="D109" s="100"/>
      <c r="E109" s="162" t="str">
        <f>IF(E78="","",IF(OR(LEFT($C$11,1)="F",LEFT($C$11,1)="G",LEFT($C$11,1)="D"),"FALSE",
IF(LEFT($C$11,1)="A",
ROUND(IF(OR(E78&gt;=100,E78&lt;=0),0,IF(E78&lt;=54,E78*'Reference Curves'!$U$623+'Reference Curves'!$U$624,
IF(E78&gt;=62,E78*'Reference Curves'!$V$623+'Reference Curves'!$V$624,1))),2),IF(LEFT($C$11,1)="B",
ROUND(IF(OR(E78&gt;=100,E78&lt;=0),0,IF(E78&lt;=53,E78*'Reference Curves'!$U$657+'Reference Curves'!$U$658,
IF(E78&gt;=61,E78*'Reference Curves'!$V$657+'Reference Curves'!$V$658,1))),2),
IF(LEFT($C$11,1)="C",
ROUND(IF(OR(E78&gt;=100,E78&lt;=0),0,
IF(E78&lt;45,E78*'Reference Curves'!$U$692+'Reference Curves'!$U$693,
IF(E78&gt;=64,E78*'Reference Curves'!$V$692+'Reference Curves'!$V$693,1))),2),
IF(LEFT($C$11,1)="E",
ROUND(IF(OR(E78&gt;=100,E78&lt;=0),0,
IF(E78&lt;43,E78*'Reference Curves'!$U$726+'Reference Curves'!$U$727,
IF(E78&gt;=63,E78*'Reference Curves'!$V$726+'Reference Curves'!$V$727,1))),2),))))))</f>
        <v/>
      </c>
      <c r="F109" s="163" t="str">
        <f>IF(F78="","",IF(OR(LEFT($C$11,1)="F",LEFT($C$11,1)="G",LEFT($C$11,1)="D"),"FALSE",
IF(LEFT($C$11,1)="A",
ROUND(IF(OR(F78&gt;=100,F78&lt;=0),0,IF(F78&lt;=54,F78*'Reference Curves'!$U$623+'Reference Curves'!$U$624,
IF(F78&gt;=62,F78*'Reference Curves'!$V$623+'Reference Curves'!$V$624,1))),2),IF(LEFT($C$11,1)="B",
ROUND(IF(OR(F78&gt;=100,F78&lt;=0),0,IF(F78&lt;=53,F78*'Reference Curves'!$U$657+'Reference Curves'!$U$658,
IF(F78&gt;=61,F78*'Reference Curves'!$V$657+'Reference Curves'!$V$658,1))),2),
IF(LEFT($C$11,1)="C",
ROUND(IF(OR(F78&gt;=100,F78&lt;=0),0,
IF(F78&lt;45,F78*'Reference Curves'!$U$692+'Reference Curves'!$U$693,
IF(F78&gt;=64,F78*'Reference Curves'!$V$692+'Reference Curves'!$V$693,1))),2),
IF(LEFT($C$11,1)="E",
ROUND(IF(OR(F78&gt;=100,F78&lt;=0),0,
IF(F78&lt;43,F78*'Reference Curves'!$U$726+'Reference Curves'!$U$727,
IF(F78&gt;=63,F78*'Reference Curves'!$V$726+'Reference Curves'!$V$727,1))),2),))))))</f>
        <v/>
      </c>
      <c r="G109" s="162" t="str">
        <f>IF(G78="","",IF(OR(LEFT($C$11,1)="F",LEFT($C$11,1)="G",LEFT($C$11,1)="D"),"FALSE",
IF(LEFT($C$11,1)="A",
ROUND(IF(OR(G78&gt;=100,G78&lt;=0),0,IF(G78&lt;=54,G78*'Reference Curves'!$U$623+'Reference Curves'!$U$624,
IF(G78&gt;=62,G78*'Reference Curves'!$V$623+'Reference Curves'!$V$624,1))),2),IF(LEFT($C$11,1)="B",
ROUND(IF(OR(G78&gt;=100,G78&lt;=0),0,IF(G78&lt;=53,G78*'Reference Curves'!$U$657+'Reference Curves'!$U$658,
IF(G78&gt;=61,G78*'Reference Curves'!$V$657+'Reference Curves'!$V$658,1))),2),
IF(LEFT($C$11,1)="C",
ROUND(IF(OR(G78&gt;=100,G78&lt;=0),0,
IF(G78&lt;45,G78*'Reference Curves'!$U$692+'Reference Curves'!$U$693,
IF(G78&gt;=64,G78*'Reference Curves'!$V$692+'Reference Curves'!$V$693,1))),2),
IF(LEFT($C$11,1)="E",
ROUND(IF(OR(G78&gt;=100,G78&lt;=0),0,
IF(G78&lt;43,G78*'Reference Curves'!$U$726+'Reference Curves'!$U$727,
IF(G78&gt;=63,G78*'Reference Curves'!$V$726+'Reference Curves'!$V$727,1))),2),))))))</f>
        <v/>
      </c>
      <c r="H109" s="163" t="str">
        <f>IF(H78="","",IF(OR(LEFT($C$11,1)="F",LEFT($C$11,1)="G",LEFT($C$11,1)="D"),"FALSE",
IF(LEFT($C$11,1)="A",
ROUND(IF(OR(H78&gt;=100,H78&lt;=0),0,IF(H78&lt;=54,H78*'Reference Curves'!$U$623+'Reference Curves'!$U$624,
IF(H78&gt;=62,H78*'Reference Curves'!$V$623+'Reference Curves'!$V$624,1))),2),IF(LEFT($C$11,1)="B",
ROUND(IF(OR(H78&gt;=100,H78&lt;=0),0,IF(H78&lt;=53,H78*'Reference Curves'!$U$657+'Reference Curves'!$U$658,
IF(H78&gt;=61,H78*'Reference Curves'!$V$657+'Reference Curves'!$V$658,1))),2),
IF(LEFT($C$11,1)="C",
ROUND(IF(OR(H78&gt;=100,H78&lt;=0),0,
IF(H78&lt;45,H78*'Reference Curves'!$U$692+'Reference Curves'!$U$693,
IF(H78&gt;=64,H78*'Reference Curves'!$V$692+'Reference Curves'!$V$693,1))),2),
IF(LEFT($C$11,1)="E",
ROUND(IF(OR(H78&gt;=100,H78&lt;=0),0,
IF(H78&lt;43,H78*'Reference Curves'!$U$726+'Reference Curves'!$U$727,
IF(H78&gt;=63,H78*'Reference Curves'!$V$726+'Reference Curves'!$V$727,1))),2),))))))</f>
        <v/>
      </c>
      <c r="I109" s="163" t="str">
        <f>IF(I78="","",IF(OR(LEFT($C$11,1)="F",LEFT($C$11,1)="G",LEFT($C$11,1)="D"),"FALSE",
IF(LEFT($C$11,1)="A",
ROUND(IF(OR(I78&gt;=100,I78&lt;=0),0,IF(I78&lt;=54,I78*'Reference Curves'!$U$623+'Reference Curves'!$U$624,
IF(I78&gt;=62,I78*'Reference Curves'!$V$623+'Reference Curves'!$V$624,1))),2),IF(LEFT($C$11,1)="B",
ROUND(IF(OR(I78&gt;=100,I78&lt;=0),0,IF(I78&lt;=53,I78*'Reference Curves'!$U$657+'Reference Curves'!$U$658,
IF(I78&gt;=61,I78*'Reference Curves'!$V$657+'Reference Curves'!$V$658,1))),2),
IF(LEFT($C$11,1)="C",
ROUND(IF(OR(I78&gt;=100,I78&lt;=0),0,
IF(I78&lt;45,I78*'Reference Curves'!$U$692+'Reference Curves'!$U$693,
IF(I78&gt;=64,I78*'Reference Curves'!$V$692+'Reference Curves'!$V$693,1))),2),
IF(LEFT($C$11,1)="E",
ROUND(IF(OR(I78&gt;=100,I78&lt;=0),0,
IF(I78&lt;43,I78*'Reference Curves'!$U$726+'Reference Curves'!$U$727,
IF(I78&gt;=63,I78*'Reference Curves'!$V$726+'Reference Curves'!$V$727,1))),2),))))))</f>
        <v/>
      </c>
      <c r="J109" s="163" t="str">
        <f>IF(J78="","",IF(OR(LEFT($C$11,1)="F",LEFT($C$11,1)="G",LEFT($C$11,1)="D"),"FALSE",
IF(LEFT($C$11,1)="A",
ROUND(IF(OR(J78&gt;=100,J78&lt;=0),0,IF(J78&lt;=54,J78*'Reference Curves'!$U$623+'Reference Curves'!$U$624,
IF(J78&gt;=62,J78*'Reference Curves'!$V$623+'Reference Curves'!$V$624,1))),2),IF(LEFT($C$11,1)="B",
ROUND(IF(OR(J78&gt;=100,J78&lt;=0),0,IF(J78&lt;=53,J78*'Reference Curves'!$U$657+'Reference Curves'!$U$658,
IF(J78&gt;=61,J78*'Reference Curves'!$V$657+'Reference Curves'!$V$658,1))),2),
IF(LEFT($C$11,1)="C",
ROUND(IF(OR(J78&gt;=100,J78&lt;=0),0,
IF(J78&lt;45,J78*'Reference Curves'!$U$692+'Reference Curves'!$U$693,
IF(J78&gt;=64,J78*'Reference Curves'!$V$692+'Reference Curves'!$V$693,1))),2),
IF(LEFT($C$11,1)="E",
ROUND(IF(OR(J78&gt;=100,J78&lt;=0),0,
IF(J78&lt;43,J78*'Reference Curves'!$U$726+'Reference Curves'!$U$727,
IF(J78&gt;=63,J78*'Reference Curves'!$V$726+'Reference Curves'!$V$727,1))),2),))))))</f>
        <v/>
      </c>
      <c r="K109" s="163" t="str">
        <f>IF(K78="","",IF(OR(LEFT($C$11,1)="F",LEFT($C$11,1)="G",LEFT($C$11,1)="D"),"FALSE",
IF(LEFT($C$11,1)="A",
ROUND(IF(OR(K78&gt;=100,K78&lt;=0),0,IF(K78&lt;=54,K78*'Reference Curves'!$U$623+'Reference Curves'!$U$624,
IF(K78&gt;=62,K78*'Reference Curves'!$V$623+'Reference Curves'!$V$624,1))),2),IF(LEFT($C$11,1)="B",
ROUND(IF(OR(K78&gt;=100,K78&lt;=0),0,IF(K78&lt;=53,K78*'Reference Curves'!$U$657+'Reference Curves'!$U$658,
IF(K78&gt;=61,K78*'Reference Curves'!$V$657+'Reference Curves'!$V$658,1))),2),
IF(LEFT($C$11,1)="C",
ROUND(IF(OR(K78&gt;=100,K78&lt;=0),0,
IF(K78&lt;45,K78*'Reference Curves'!$U$692+'Reference Curves'!$U$693,
IF(K78&gt;=64,K78*'Reference Curves'!$V$692+'Reference Curves'!$V$693,1))),2),
IF(LEFT($C$11,1)="E",
ROUND(IF(OR(K78&gt;=100,K78&lt;=0),0,
IF(K78&lt;43,K78*'Reference Curves'!$U$726+'Reference Curves'!$U$727,
IF(K78&gt;=63,K78*'Reference Curves'!$V$726+'Reference Curves'!$V$727,1))),2),))))))</f>
        <v/>
      </c>
      <c r="L109" s="164" t="str">
        <f>IF(L78="","",IF(OR(LEFT($C$11,1)="F",LEFT($C$11,1)="G",LEFT($C$11,1)="D"),"FALSE",
IF(LEFT($C$11,1)="A",
ROUND(IF(OR(L78&gt;=100,L78&lt;=0),0,IF(L78&lt;=54,L78*'Reference Curves'!$U$623+'Reference Curves'!$U$624,
IF(L78&gt;=62,L78*'Reference Curves'!$V$623+'Reference Curves'!$V$624,1))),2),IF(LEFT($C$11,1)="B",
ROUND(IF(OR(L78&gt;=100,L78&lt;=0),0,IF(L78&lt;=53,L78*'Reference Curves'!$U$657+'Reference Curves'!$U$658,
IF(L78&gt;=61,L78*'Reference Curves'!$V$657+'Reference Curves'!$V$658,1))),2),
IF(LEFT($C$11,1)="C",
ROUND(IF(OR(L78&gt;=100,L78&lt;=0),0,
IF(L78&lt;45,L78*'Reference Curves'!$U$692+'Reference Curves'!$U$693,
IF(L78&gt;=64,L78*'Reference Curves'!$V$692+'Reference Curves'!$V$693,1))),2),
IF(LEFT($C$11,1)="E",
ROUND(IF(OR(L78&gt;=100,L78&lt;=0),0,
IF(L78&lt;43,L78*'Reference Curves'!$U$726+'Reference Curves'!$U$727,
IF(L78&gt;=63,L78*'Reference Curves'!$V$726+'Reference Curves'!$V$727,1))),2),))))))</f>
        <v/>
      </c>
      <c r="M109" s="156" t="str">
        <f>IF(M78="","",IF(OR(LEFT($C$11,1)="F",LEFT($C$11,1)="G",LEFT($C$11,1)="D"),"FALSE",
IF(LEFT($C$11,1)="A",
ROUND(IF(OR(M78&gt;=100,M78&lt;=0),0,IF(M78&lt;=54,M78*'Reference Curves'!$U$623+'Reference Curves'!$U$624,
IF(M78&gt;=62,M78*'Reference Curves'!$V$623+'Reference Curves'!$V$624,1))),2),IF(LEFT($C$11,1)="B",
ROUND(IF(OR(M78&gt;=100,M78&lt;=0),0,IF(M78&lt;=53,M78*'Reference Curves'!$U$657+'Reference Curves'!$U$658,
IF(M78&gt;=61,M78*'Reference Curves'!$V$657+'Reference Curves'!$V$658,1))),2),
IF(LEFT($C$11,1)="C",
ROUND(IF(OR(M78&gt;=100,M78&lt;=0),0,
IF(M78&lt;45,M78*'Reference Curves'!$U$692+'Reference Curves'!$U$693,
IF(M78&gt;=64,M78*'Reference Curves'!$V$692+'Reference Curves'!$V$693,1))),2),
IF(LEFT($C$11,1)="E",
ROUND(IF(OR(M78&gt;=100,M78&lt;=0),0,
IF(M78&lt;43,M78*'Reference Curves'!$U$726+'Reference Curves'!$U$727,
IF(M78&gt;=63,M78*'Reference Curves'!$V$726+'Reference Curves'!$V$727,1))),2),))))))</f>
        <v/>
      </c>
      <c r="N109" s="163" t="str">
        <f>IF(N78="","",IF(OR(LEFT($C$11,1)="F",LEFT($C$11,1)="G",LEFT($C$11,1)="D"),"FALSE",
IF(LEFT($C$11,1)="A",
ROUND(IF(OR(N78&gt;=100,N78&lt;=0),0,IF(N78&lt;=54,N78*'Reference Curves'!$U$623+'Reference Curves'!$U$624,
IF(N78&gt;=62,N78*'Reference Curves'!$V$623+'Reference Curves'!$V$624,1))),2),IF(LEFT($C$11,1)="B",
ROUND(IF(OR(N78&gt;=100,N78&lt;=0),0,IF(N78&lt;=53,N78*'Reference Curves'!$U$657+'Reference Curves'!$U$658,
IF(N78&gt;=61,N78*'Reference Curves'!$V$657+'Reference Curves'!$V$658,1))),2),
IF(LEFT($C$11,1)="C",
ROUND(IF(OR(N78&gt;=100,N78&lt;=0),0,
IF(N78&lt;45,N78*'Reference Curves'!$U$692+'Reference Curves'!$U$693,
IF(N78&gt;=64,N78*'Reference Curves'!$V$692+'Reference Curves'!$V$693,1))),2),
IF(LEFT($C$11,1)="E",
ROUND(IF(OR(N78&gt;=100,N78&lt;=0),0,
IF(N78&lt;43,N78*'Reference Curves'!$U$726+'Reference Curves'!$U$727,
IF(N78&gt;=63,N78*'Reference Curves'!$V$726+'Reference Curves'!$V$727,1))),2),))))))</f>
        <v/>
      </c>
      <c r="O109" s="155" t="str">
        <f>IF(O78="","",IF(OR(LEFT($C$11,1)="F",LEFT($C$11,1)="G",LEFT($C$11,1)="D"),"FALSE",
IF(LEFT($C$11,1)="A",
ROUND(IF(OR(O78&gt;=100,O78&lt;=0),0,IF(O78&lt;=54,O78*'Reference Curves'!$U$623+'Reference Curves'!$U$624,
IF(O78&gt;=62,O78*'Reference Curves'!$V$623+'Reference Curves'!$V$624,1))),2),IF(LEFT($C$11,1)="B",
ROUND(IF(OR(O78&gt;=100,O78&lt;=0),0,IF(O78&lt;=53,O78*'Reference Curves'!$U$657+'Reference Curves'!$U$658,
IF(O78&gt;=61,O78*'Reference Curves'!$V$657+'Reference Curves'!$V$658,1))),2),
IF(LEFT($C$11,1)="C",
ROUND(IF(OR(O78&gt;=100,O78&lt;=0),0,
IF(O78&lt;45,O78*'Reference Curves'!$U$692+'Reference Curves'!$U$693,
IF(O78&gt;=64,O78*'Reference Curves'!$V$692+'Reference Curves'!$V$693,1))),2),
IF(LEFT($C$11,1)="E",
ROUND(IF(OR(O78&gt;=100,O78&lt;=0),0,
IF(O78&lt;43,O78*'Reference Curves'!$U$726+'Reference Curves'!$U$727,
IF(O78&gt;=63,O78*'Reference Curves'!$V$726+'Reference Curves'!$V$727,1))),2),))))))</f>
        <v/>
      </c>
    </row>
    <row r="110" spans="1:15" ht="15.5" x14ac:dyDescent="0.35">
      <c r="A110" s="291"/>
      <c r="B110" s="393" t="s">
        <v>73</v>
      </c>
      <c r="C110" s="109" t="s">
        <v>74</v>
      </c>
      <c r="D110" s="118"/>
      <c r="E110" s="165" t="str">
        <f>IF(E79="","",IF(E79&lt;=15,1,IF(E79="","",ROUND(IF(E79&lt;=30,'Reference Curves'!$U$758*E79+'Reference Curves'!$U$759,'Reference Curves'!$V$758*E79+'Reference Curves'!$V$759),2))))</f>
        <v/>
      </c>
      <c r="F110" s="165" t="str">
        <f>IF(F79="","",IF(F79&lt;=15,1,IF(F79="","",ROUND(IF(F79&lt;=30,'Reference Curves'!$U$758*F79+'Reference Curves'!$U$759,'Reference Curves'!$V$758*F79+'Reference Curves'!$V$759),2))))</f>
        <v/>
      </c>
      <c r="G110" s="165" t="str">
        <f>IF(G79="","",IF(G79&lt;=15,1,IF(G79="","",ROUND(IF(G79&lt;=30,'Reference Curves'!$U$758*G79+'Reference Curves'!$U$759,'Reference Curves'!$V$758*G79+'Reference Curves'!$V$759),2))))</f>
        <v/>
      </c>
      <c r="H110" s="165" t="str">
        <f>IF(H79="","",IF(H79&lt;=15,1,IF(H79="","",ROUND(IF(H79&lt;=30,'Reference Curves'!$U$758*H79+'Reference Curves'!$U$759,'Reference Curves'!$V$758*H79+'Reference Curves'!$V$759),2))))</f>
        <v/>
      </c>
      <c r="I110" s="165" t="str">
        <f>IF(I79="","",IF(I79&lt;=15,1,IF(I79="","",ROUND(IF(I79&lt;=30,'Reference Curves'!$U$758*I79+'Reference Curves'!$U$759,'Reference Curves'!$V$758*I79+'Reference Curves'!$V$759),2))))</f>
        <v/>
      </c>
      <c r="J110" s="165" t="str">
        <f>IF(J79="","",IF(J79&lt;=15,1,IF(J79="","",ROUND(IF(J79&lt;=30,'Reference Curves'!$U$758*J79+'Reference Curves'!$U$759,'Reference Curves'!$V$758*J79+'Reference Curves'!$V$759),2))))</f>
        <v/>
      </c>
      <c r="K110" s="165" t="str">
        <f>IF(K79="","",IF(K79&lt;=15,1,IF(K79="","",ROUND(IF(K79&lt;=30,'Reference Curves'!$U$758*K79+'Reference Curves'!$U$759,'Reference Curves'!$V$758*K79+'Reference Curves'!$V$759),2))))</f>
        <v/>
      </c>
      <c r="L110" s="165" t="str">
        <f>IF(L79="","",IF(L79&lt;=15,1,IF(L79="","",ROUND(IF(L79&lt;=30,'Reference Curves'!$U$758*L79+'Reference Curves'!$U$759,'Reference Curves'!$V$758*L79+'Reference Curves'!$V$759),2))))</f>
        <v/>
      </c>
      <c r="M110" s="165" t="str">
        <f>IF(M79="","",IF(M79&lt;=15,1,IF(M79="","",ROUND(IF(M79&lt;=30,'Reference Curves'!$U$758*M79+'Reference Curves'!$U$759,'Reference Curves'!$V$758*M79+'Reference Curves'!$V$759),2))))</f>
        <v/>
      </c>
      <c r="N110" s="165" t="str">
        <f>IF(N79="","",IF(N79&lt;=15,1,IF(N79="","",ROUND(IF(N79&lt;=30,'Reference Curves'!$U$758*N79+'Reference Curves'!$U$759,'Reference Curves'!$V$758*N79+'Reference Curves'!$V$759),2))))</f>
        <v/>
      </c>
      <c r="O110" s="166" t="str">
        <f>IF(O79="","",IF(O79&lt;=15,1,IF(O79="","",ROUND(IF(O79&lt;=30,'Reference Curves'!$U$758*O79+'Reference Curves'!$U$759,'Reference Curves'!$V$758*O79+'Reference Curves'!$V$759),2))))</f>
        <v/>
      </c>
    </row>
    <row r="111" spans="1:15" ht="15.5" x14ac:dyDescent="0.35">
      <c r="A111" s="291"/>
      <c r="B111" s="394"/>
      <c r="C111" s="104" t="s">
        <v>75</v>
      </c>
      <c r="D111" s="100"/>
      <c r="E111" s="163" t="str">
        <f xml:space="preserve"> IF(E80="","",IF(E80&lt;=10,1,     ROUND(IF(E80&lt;=15,'Reference Curves'!$U$789*E80+'Reference Curves'!$U$790,'Reference Curves'!$V$789*E80+'Reference Curves'!$V$790),2)))</f>
        <v/>
      </c>
      <c r="F111" s="163" t="str">
        <f xml:space="preserve"> IF(F80="","",IF(F80&lt;=10,1,     ROUND(IF(F80&lt;=15,'Reference Curves'!$U$789*F80+'Reference Curves'!$U$790,'Reference Curves'!$V$789*F80+'Reference Curves'!$V$790),2)))</f>
        <v/>
      </c>
      <c r="G111" s="163" t="str">
        <f xml:space="preserve"> IF(G80="","",IF(G80&lt;=10,1,     ROUND(IF(G80&lt;=15,'Reference Curves'!$U$789*G80+'Reference Curves'!$U$790,'Reference Curves'!$V$789*G80+'Reference Curves'!$V$790),2)))</f>
        <v/>
      </c>
      <c r="H111" s="163" t="str">
        <f xml:space="preserve"> IF(H80="","",IF(H80&lt;=10,1,     ROUND(IF(H80&lt;=15,'Reference Curves'!$U$789*H80+'Reference Curves'!$U$790,'Reference Curves'!$V$789*H80+'Reference Curves'!$V$790),2)))</f>
        <v/>
      </c>
      <c r="I111" s="163" t="str">
        <f xml:space="preserve"> IF(I80="","",IF(I80&lt;=10,1,     ROUND(IF(I80&lt;=15,'Reference Curves'!$U$789*I80+'Reference Curves'!$U$790,'Reference Curves'!$V$789*I80+'Reference Curves'!$V$790),2)))</f>
        <v/>
      </c>
      <c r="J111" s="163" t="str">
        <f xml:space="preserve"> IF(J80="","",IF(J80&lt;=10,1,     ROUND(IF(J80&lt;=15,'Reference Curves'!$U$789*J80+'Reference Curves'!$U$790,'Reference Curves'!$V$789*J80+'Reference Curves'!$V$790),2)))</f>
        <v/>
      </c>
      <c r="K111" s="163" t="str">
        <f xml:space="preserve"> IF(K80="","",IF(K80&lt;=10,1,     ROUND(IF(K80&lt;=15,'Reference Curves'!$U$789*K80+'Reference Curves'!$U$790,'Reference Curves'!$V$789*K80+'Reference Curves'!$V$790),2)))</f>
        <v/>
      </c>
      <c r="L111" s="163" t="str">
        <f xml:space="preserve"> IF(L80="","",IF(L80&lt;=10,1,     ROUND(IF(L80&lt;=15,'Reference Curves'!$U$789*L80+'Reference Curves'!$U$790,'Reference Curves'!$V$789*L80+'Reference Curves'!$V$790),2)))</f>
        <v/>
      </c>
      <c r="M111" s="163" t="str">
        <f xml:space="preserve"> IF(M80="","",IF(M80&lt;=10,1,     ROUND(IF(M80&lt;=15,'Reference Curves'!$U$789*M80+'Reference Curves'!$U$790,'Reference Curves'!$V$789*M80+'Reference Curves'!$V$790),2)))</f>
        <v/>
      </c>
      <c r="N111" s="163" t="str">
        <f xml:space="preserve"> IF(N80="","",IF(N80&lt;=10,1,     ROUND(IF(N80&lt;=15,'Reference Curves'!$U$789*N80+'Reference Curves'!$U$790,'Reference Curves'!$V$789*N80+'Reference Curves'!$V$790),2)))</f>
        <v/>
      </c>
      <c r="O111" s="155" t="str">
        <f xml:space="preserve"> IF(O80="","",IF(O80&lt;=10,1,     ROUND(IF(O80&lt;=15,'Reference Curves'!$U$789*O80+'Reference Curves'!$U$790,'Reference Curves'!$V$789*O80+'Reference Curves'!$V$790),2)))</f>
        <v/>
      </c>
    </row>
    <row r="112" spans="1:15" ht="15.5" x14ac:dyDescent="0.35">
      <c r="A112" s="291"/>
      <c r="B112" s="394"/>
      <c r="C112" s="104" t="s">
        <v>76</v>
      </c>
      <c r="D112" s="100"/>
      <c r="E112" s="155" t="str">
        <f>IF(E81="","",IF(E81&lt;=20,0,IF(E81&gt;=125,1,ROUND(IF(E81&gt;=60,'Reference Curves'!$U$888*E81+'Reference Curves'!$U$889,'Reference Curves'!$V$888*E81+'Reference Curves'!$V$889),2))))</f>
        <v/>
      </c>
      <c r="F112" s="163" t="str">
        <f>IF(F81="","",IF(F81&lt;=20,0,IF(F81&gt;=125,1,ROUND(IF(F81&gt;=60,'Reference Curves'!$U$888*F81+'Reference Curves'!$U$889,'Reference Curves'!$V$888*F81+'Reference Curves'!$V$889),2))))</f>
        <v/>
      </c>
      <c r="G112" s="155" t="str">
        <f>IF(G81="","",IF(G81&lt;=20,0,IF(G81&gt;=125,1,ROUND(IF(G81&gt;=60,'Reference Curves'!$U$888*G81+'Reference Curves'!$U$889,'Reference Curves'!$V$888*G81+'Reference Curves'!$V$889),2))))</f>
        <v/>
      </c>
      <c r="H112" s="155" t="str">
        <f>IF(H81="","",IF(H81&lt;=20,0,IF(H81&gt;=125,1,ROUND(IF(H81&gt;=60,'Reference Curves'!$U$888*H81+'Reference Curves'!$U$889,'Reference Curves'!$V$888*H81+'Reference Curves'!$V$889),2))))</f>
        <v/>
      </c>
      <c r="I112" s="155" t="str">
        <f>IF(I81="","",IF(I81&lt;=20,0,IF(I81&gt;=125,1,ROUND(IF(I81&gt;=60,'Reference Curves'!$U$888*I81+'Reference Curves'!$U$889,'Reference Curves'!$V$888*I81+'Reference Curves'!$V$889),2))))</f>
        <v/>
      </c>
      <c r="J112" s="155" t="str">
        <f>IF(J81="","",IF(J81&lt;=20,0,IF(J81&gt;=125,1,ROUND(IF(J81&gt;=60,'Reference Curves'!$U$888*J81+'Reference Curves'!$U$889,'Reference Curves'!$V$888*J81+'Reference Curves'!$V$889),2))))</f>
        <v/>
      </c>
      <c r="K112" s="155" t="str">
        <f>IF(K81="","",IF(K81&lt;=20,0,IF(K81&gt;=125,1,ROUND(IF(K81&gt;=60,'Reference Curves'!$U$888*K81+'Reference Curves'!$U$889,'Reference Curves'!$V$888*K81+'Reference Curves'!$V$889),2))))</f>
        <v/>
      </c>
      <c r="L112" s="155" t="str">
        <f>IF(L81="","",IF(L81&lt;=20,0,IF(L81&gt;=125,1,ROUND(IF(L81&gt;=60,'Reference Curves'!$U$888*L81+'Reference Curves'!$U$889,'Reference Curves'!$V$888*L81+'Reference Curves'!$V$889),2))))</f>
        <v/>
      </c>
      <c r="M112" s="155" t="str">
        <f>IF(M81="","",IF(M81&lt;=20,0,IF(M81&gt;=125,1,ROUND(IF(M81&gt;=60,'Reference Curves'!$U$888*M81+'Reference Curves'!$U$889,'Reference Curves'!$V$888*M81+'Reference Curves'!$V$889),2))))</f>
        <v/>
      </c>
      <c r="N112" s="155" t="str">
        <f>IF(N81="","",IF(N81&lt;=20,0,IF(N81&gt;=125,1,ROUND(IF(N81&gt;=60,'Reference Curves'!$U$888*N81+'Reference Curves'!$U$889,'Reference Curves'!$V$888*N81+'Reference Curves'!$V$889),2))))</f>
        <v/>
      </c>
      <c r="O112" s="157" t="str">
        <f>IF(O81="","",IF(O81&lt;=20,0,IF(O81&gt;=125,1,ROUND(IF(O81&gt;=60,'Reference Curves'!$U$888*O81+'Reference Curves'!$U$889,'Reference Curves'!$V$888*O81+'Reference Curves'!$V$889),2))))</f>
        <v/>
      </c>
    </row>
    <row r="113" spans="1:15" ht="15.5" x14ac:dyDescent="0.35">
      <c r="A113" s="291"/>
      <c r="B113" s="394"/>
      <c r="C113" s="104" t="s">
        <v>77</v>
      </c>
      <c r="D113" s="100"/>
      <c r="E113" s="163" t="str">
        <f xml:space="preserve"> IF(E82="","",IF(E82&lt;=1,0,IF(E82&gt;=30,1,ROUND('Reference Curves'!$U$822*E82-'Reference Curves'!$U$823,2))))</f>
        <v/>
      </c>
      <c r="F113" s="163" t="str">
        <f xml:space="preserve"> IF(F82="","",IF(F82&lt;=1,0,IF(F82&gt;=30,1,ROUND('Reference Curves'!$U$822*F82-'Reference Curves'!$U$823,2))))</f>
        <v/>
      </c>
      <c r="G113" s="163" t="str">
        <f xml:space="preserve"> IF(G82="","",IF(G82&lt;=1,0,IF(G82&gt;=30,1,ROUND('Reference Curves'!$U$822*G82-'Reference Curves'!$U$823,2))))</f>
        <v/>
      </c>
      <c r="H113" s="163" t="str">
        <f xml:space="preserve"> IF(H82="","",IF(H82&lt;=1,0,IF(H82&gt;=30,1,ROUND('Reference Curves'!$U$822*H82-'Reference Curves'!$U$823,2))))</f>
        <v/>
      </c>
      <c r="I113" s="155" t="str">
        <f xml:space="preserve"> IF(I82="","",IF(I82&lt;=1,0,IF(I82&gt;=30,1,ROUND('Reference Curves'!$U$822*I82-'Reference Curves'!$U$823,2))))</f>
        <v/>
      </c>
      <c r="J113" s="156" t="str">
        <f xml:space="preserve"> IF(J82="","",IF(J82&lt;=1,0,IF(J82&gt;=30,1,ROUND('Reference Curves'!$U$822*J82-'Reference Curves'!$U$823,2))))</f>
        <v/>
      </c>
      <c r="K113" s="163" t="str">
        <f xml:space="preserve"> IF(K82="","",IF(K82&lt;=1,0,IF(K82&gt;=30,1,ROUND('Reference Curves'!$U$822*K82-'Reference Curves'!$U$823,2))))</f>
        <v/>
      </c>
      <c r="L113" s="163" t="str">
        <f xml:space="preserve"> IF(L82="","",IF(L82&lt;=1,0,IF(L82&gt;=30,1,ROUND('Reference Curves'!$U$822*L82-'Reference Curves'!$U$823,2))))</f>
        <v/>
      </c>
      <c r="M113" s="163" t="str">
        <f xml:space="preserve"> IF(M82="","",IF(M82&lt;=1,0,IF(M82&gt;=30,1,ROUND('Reference Curves'!$U$822*M82-'Reference Curves'!$U$823,2))))</f>
        <v/>
      </c>
      <c r="N113" s="163" t="str">
        <f xml:space="preserve"> IF(N82="","",IF(N82&lt;=1,0,IF(N82&gt;=30,1,ROUND('Reference Curves'!$U$822*N82-'Reference Curves'!$U$823,2))))</f>
        <v/>
      </c>
      <c r="O113" s="155" t="str">
        <f xml:space="preserve"> IF(O82="","",IF(O82&lt;=1,0,IF(O82&gt;=30,1,ROUND('Reference Curves'!$U$822*O82-'Reference Curves'!$U$823,2))))</f>
        <v/>
      </c>
    </row>
    <row r="114" spans="1:15" ht="15.5" x14ac:dyDescent="0.35">
      <c r="A114" s="291"/>
      <c r="B114" s="395"/>
      <c r="C114" s="121" t="s">
        <v>78</v>
      </c>
      <c r="D114" s="140"/>
      <c r="E114" s="162" t="str">
        <f>IF(E83="","",IF(E83&lt;=1,0,IF(E83&gt;=14,1,ROUND('Reference Curves'!$U$855*E83-'Reference Curves'!$U$856,2))))</f>
        <v/>
      </c>
      <c r="F114" s="162" t="str">
        <f>IF(F83="","",IF(F83&lt;=1,0,IF(F83&gt;=14,1,ROUND('Reference Curves'!$U$855*F83-'Reference Curves'!$U$856,2))))</f>
        <v/>
      </c>
      <c r="G114" s="162" t="str">
        <f>IF(G83="","",IF(G83&lt;=1,0,IF(G83&gt;=14,1,ROUND('Reference Curves'!$U$855*G83-'Reference Curves'!$U$856,2))))</f>
        <v/>
      </c>
      <c r="H114" s="162" t="str">
        <f>IF(H83="","",IF(H83&lt;=1,0,IF(H83&gt;=14,1,ROUND('Reference Curves'!$U$855*H83-'Reference Curves'!$U$856,2))))</f>
        <v/>
      </c>
      <c r="I114" s="162" t="str">
        <f>IF(I83="","",IF(I83&lt;=1,0,IF(I83&gt;=14,1,ROUND('Reference Curves'!$U$855*I83-'Reference Curves'!$U$856,2))))</f>
        <v/>
      </c>
      <c r="J114" s="162" t="str">
        <f>IF(J83="","",IF(J83&lt;=1,0,IF(J83&gt;=14,1,ROUND('Reference Curves'!$U$855*J83-'Reference Curves'!$U$856,2))))</f>
        <v/>
      </c>
      <c r="K114" s="162" t="str">
        <f>IF(K83="","",IF(K83&lt;=1,0,IF(K83&gt;=14,1,ROUND('Reference Curves'!$U$855*K83-'Reference Curves'!$U$856,2))))</f>
        <v/>
      </c>
      <c r="L114" s="162" t="str">
        <f>IF(L83="","",IF(L83&lt;=1,0,IF(L83&gt;=14,1,ROUND('Reference Curves'!$U$855*L83-'Reference Curves'!$U$856,2))))</f>
        <v/>
      </c>
      <c r="M114" s="162" t="str">
        <f>IF(M83="","",IF(M83&lt;=1,0,IF(M83&gt;=14,1,ROUND('Reference Curves'!$U$855*M83-'Reference Curves'!$U$856,2))))</f>
        <v/>
      </c>
      <c r="N114" s="162" t="str">
        <f>IF(N83="","",IF(N83&lt;=1,0,IF(N83&gt;=14,1,ROUND('Reference Curves'!$U$855*N83-'Reference Curves'!$U$856,2))))</f>
        <v/>
      </c>
      <c r="O114" s="164" t="str">
        <f>IF(O83="","",IF(O83&lt;=1,0,IF(O83&gt;=14,1,ROUND('Reference Curves'!$U$855*O83-'Reference Curves'!$U$856,2))))</f>
        <v/>
      </c>
    </row>
    <row r="115" spans="1:15" ht="15.5" x14ac:dyDescent="0.35">
      <c r="A115" s="417" t="s">
        <v>79</v>
      </c>
      <c r="B115" s="132" t="s">
        <v>80</v>
      </c>
      <c r="C115" s="126" t="s">
        <v>81</v>
      </c>
      <c r="D115" s="143"/>
      <c r="E115" s="149" t="str">
        <f>IF(E84="","",IF($C$19="Coldwater",IF(E84&gt;=77,0,IF(E84&lt;58.1,1,ROUND(E84*'Reference Curves'!$AD$16+'Reference Curves'!$AD$17,2))),IF($C$19="Coolwater",IF(E84&gt;97,0,IF(E84&lt;67,1,ROUND(E84*'Reference Curves'!$AE$16+'Reference Curves'!$AE$17,2))))))</f>
        <v/>
      </c>
      <c r="F115" s="149" t="str">
        <f>IF(F84="","",IF($C$19="Coldwater",IF(F84&gt;=77,0,IF(F84&lt;58.1,1,ROUND(F84*'Reference Curves'!$AD$16+'Reference Curves'!$AD$17,2))),IF($C$19="Coolwater",IF(F84&gt;97,0,IF(F84&lt;67,1,ROUND(F84*'Reference Curves'!$AE$16+'Reference Curves'!$AE$17,2))))))</f>
        <v/>
      </c>
      <c r="G115" s="149" t="str">
        <f>IF(G84="","",IF($C$19="Coldwater",IF(G84&gt;=77,0,IF(G84&lt;58.1,1,ROUND(G84*'Reference Curves'!$AD$16+'Reference Curves'!$AD$17,2))),IF($C$19="Coolwater",IF(G84&gt;97,0,IF(G84&lt;67,1,ROUND(G84*'Reference Curves'!$AE$16+'Reference Curves'!$AE$17,2))))))</f>
        <v/>
      </c>
      <c r="H115" s="149" t="str">
        <f>IF(H84="","",IF($C$19="Coldwater",IF(H84&gt;=77,0,IF(H84&lt;58.1,1,ROUND(H84*'Reference Curves'!$AD$16+'Reference Curves'!$AD$17,2))),IF($C$19="Coolwater",IF(H84&gt;97,0,IF(H84&lt;67,1,ROUND(H84*'Reference Curves'!$AE$16+'Reference Curves'!$AE$17,2))))))</f>
        <v/>
      </c>
      <c r="I115" s="149" t="str">
        <f>IF(I84="","",IF($C$19="Coldwater",IF(I84&gt;=77,0,IF(I84&lt;58.1,1,ROUND(I84*'Reference Curves'!$AD$16+'Reference Curves'!$AD$17,2))),IF($C$19="Coolwater",IF(I84&gt;97,0,IF(I84&lt;67,1,ROUND(I84*'Reference Curves'!$AE$16+'Reference Curves'!$AE$17,2))))))</f>
        <v/>
      </c>
      <c r="J115" s="149" t="str">
        <f>IF(J84="","",IF($C$19="Coldwater",IF(J84&gt;=77,0,IF(J84&lt;58.1,1,ROUND(J84*'Reference Curves'!$AD$16+'Reference Curves'!$AD$17,2))),IF($C$19="Coolwater",IF(J84&gt;97,0,IF(J84&lt;67,1,ROUND(J84*'Reference Curves'!$AE$16+'Reference Curves'!$AE$17,2))))))</f>
        <v/>
      </c>
      <c r="K115" s="149" t="str">
        <f>IF(K84="","",IF($C$19="Coldwater",IF(K84&gt;=77,0,IF(K84&lt;58.1,1,ROUND(K84*'Reference Curves'!$AD$16+'Reference Curves'!$AD$17,2))),IF($C$19="Coolwater",IF(K84&gt;97,0,IF(K84&lt;67,1,ROUND(K84*'Reference Curves'!$AE$16+'Reference Curves'!$AE$17,2))))))</f>
        <v/>
      </c>
      <c r="L115" s="149" t="str">
        <f>IF(L84="","",IF($C$19="Coldwater",IF(L84&gt;=77,0,IF(L84&lt;58.1,1,ROUND(L84*'Reference Curves'!$AD$16+'Reference Curves'!$AD$17,2))),IF($C$19="Coolwater",IF(L84&gt;97,0,IF(L84&lt;67,1,ROUND(L84*'Reference Curves'!$AE$16+'Reference Curves'!$AE$17,2))))))</f>
        <v/>
      </c>
      <c r="M115" s="149" t="str">
        <f>IF(M84="","",IF($C$19="Coldwater",IF(M84&gt;=77,0,IF(M84&lt;58.1,1,ROUND(M84*'Reference Curves'!$AD$16+'Reference Curves'!$AD$17,2))),IF($C$19="Coolwater",IF(M84&gt;97,0,IF(M84&lt;67,1,ROUND(M84*'Reference Curves'!$AE$16+'Reference Curves'!$AE$17,2))))))</f>
        <v/>
      </c>
      <c r="N115" s="149" t="str">
        <f>IF(N84="","",IF($C$19="Coldwater",IF(N84&gt;=77,0,IF(N84&lt;58.1,1,ROUND(N84*'Reference Curves'!$AD$16+'Reference Curves'!$AD$17,2))),IF($C$19="Coolwater",IF(N84&gt;97,0,IF(N84&lt;67,1,ROUND(N84*'Reference Curves'!$AE$16+'Reference Curves'!$AE$17,2))))))</f>
        <v/>
      </c>
      <c r="O115" s="149" t="str">
        <f>IF(O84="","",IF($C$19="Coldwater",IF(O84&gt;=77,0,IF(O84&lt;58.1,1,ROUND(O84*'Reference Curves'!$AD$16+'Reference Curves'!$AD$17,2))),IF($C$19="Coolwater",IF(O84&gt;97,0,IF(O84&lt;67,1,ROUND(O84*'Reference Curves'!$AE$16+'Reference Curves'!$AE$17,2))))))</f>
        <v/>
      </c>
    </row>
    <row r="116" spans="1:15" ht="15.5" x14ac:dyDescent="0.35">
      <c r="A116" s="418"/>
      <c r="B116" s="125" t="s">
        <v>83</v>
      </c>
      <c r="C116" s="130" t="s">
        <v>84</v>
      </c>
      <c r="D116" s="142"/>
      <c r="E116" s="69" t="str">
        <f>IF(E85="","",ROUND(IF(E85&gt;=268.98,0,IF(E85&lt;=39,1,E85*'Reference Curves'!$AD$49+'Reference Curves'!$AD$50)),2))</f>
        <v/>
      </c>
      <c r="F116" s="69" t="str">
        <f>IF(F85="","",ROUND(IF(F85&gt;=268.98,0,IF(F85&lt;=39,1,F85*'Reference Curves'!$AD$49+'Reference Curves'!$AD$50)),2))</f>
        <v/>
      </c>
      <c r="G116" s="69" t="str">
        <f>IF(G85="","",ROUND(IF(G85&gt;=268.98,0,IF(G85&lt;=39,1,G85*'Reference Curves'!$AD$49+'Reference Curves'!$AD$50)),2))</f>
        <v/>
      </c>
      <c r="H116" s="69" t="str">
        <f>IF(H85="","",ROUND(IF(H85&gt;=268.98,0,IF(H85&lt;=39,1,H85*'Reference Curves'!$AD$49+'Reference Curves'!$AD$50)),2))</f>
        <v/>
      </c>
      <c r="I116" s="69" t="str">
        <f>IF(I85="","",ROUND(IF(I85&gt;=268.98,0,IF(I85&lt;=39,1,I85*'Reference Curves'!$AD$49+'Reference Curves'!$AD$50)),2))</f>
        <v/>
      </c>
      <c r="J116" s="69" t="str">
        <f>IF(J85="","",ROUND(IF(J85&gt;=268.98,0,IF(J85&lt;=39,1,J85*'Reference Curves'!$AD$49+'Reference Curves'!$AD$50)),2))</f>
        <v/>
      </c>
      <c r="K116" s="69" t="str">
        <f>IF(K85="","",ROUND(IF(K85&gt;=268.98,0,IF(K85&lt;=39,1,K85*'Reference Curves'!$AD$49+'Reference Curves'!$AD$50)),2))</f>
        <v/>
      </c>
      <c r="L116" s="69" t="str">
        <f>IF(L85="","",ROUND(IF(L85&gt;=268.98,0,IF(L85&lt;=39,1,L85*'Reference Curves'!$AD$49+'Reference Curves'!$AD$50)),2))</f>
        <v/>
      </c>
      <c r="M116" s="69" t="str">
        <f>IF(M85="","",ROUND(IF(M85&gt;=268.98,0,IF(M85&lt;=39,1,M85*'Reference Curves'!$AD$49+'Reference Curves'!$AD$50)),2))</f>
        <v/>
      </c>
      <c r="N116" s="69" t="str">
        <f>IF(N85="","",ROUND(IF(N85&gt;=268.98,0,IF(N85&lt;=39,1,N85*'Reference Curves'!$AD$49+'Reference Curves'!$AD$50)),2))</f>
        <v/>
      </c>
      <c r="O116" s="69" t="str">
        <f>IF(O85="","",ROUND(IF(O85&gt;=268.98,0,IF(O85&lt;=39,1,O85*'Reference Curves'!$AD$49+'Reference Curves'!$AD$50)),2))</f>
        <v/>
      </c>
    </row>
    <row r="117" spans="1:15" ht="15.5" x14ac:dyDescent="0.35">
      <c r="A117" s="445"/>
      <c r="B117" s="132" t="s">
        <v>85</v>
      </c>
      <c r="C117" s="126" t="s">
        <v>86</v>
      </c>
      <c r="D117" s="143"/>
      <c r="E117" s="69" t="str">
        <f>IF(E86="","",IF($C$6 = "Mountains", IF($C$13 &lt;=5,
IF( $C$20= "Winter/Spring", ROUND(IF(E86&gt;=23,1,E86*'Reference Curves'!$AD$121+'Reference Curves'!$AD$122),2),
IF($C$20= "Summer", ROUND(IF(E86&gt;=21,1,E86*'Reference Curves'!$AE$121),2),
IF($C$20= "Fall", ROUND(IF(E86&gt;=18,1,E86*'Reference Curves'!$AF$121),2)))),
IF($C$13&lt;10, IF($C$20= "Winter/Spring", ROUND(IF(E86&gt;16,1,E86*'Reference Curves'!$AD$155),2),
IF($C$20= "Summer",ROUND(IF(E86&gt;14,1,E86*'Reference Curves'!$AE$155),2),
IF($C$20= "Fall",ROUND(IF(E86&gt;12,1,E86*'Reference Curves'!$AF$155),2)))),
IF($C$20= "Winter/Spring", ROUND(IF(E86&gt;14,1,E86*'Reference Curves'!$AD$189),2),
IF($C$20= "Summer",ROUND(IF(E86&gt;16,1,E86*'Reference Curves'!$AE$189),2),
IF($C$20= "Fall",ROUND(IF(E86&gt;15,1,E86*'Reference Curves'!$AF$189),2)))))),
IF($C$6 = "Piedmont",  IF($C$13 &lt;=5,
IF( $C$20= "Winter/Spring", ROUND(IF(E86&gt;=18,1,E86*'Reference Curves'!$AD$223),2),
IF($C$20= "Summer", ROUND(IF(E86&gt;=12,1,E86*'Reference Curves'!$AE$223),2),
IF($C$20= "Fall", ROUND(IF(E86&gt;=14,1,E86*'Reference Curves'!$AF$223),2)))),
IF($C$13&lt;10, IF($C$20= "Winter/Spring", ROUND(IF(E86&gt;12,1,E86*'Reference Curves'!$AD$259),2),
IF($C$20= "Summer",ROUND(IF(E86&gt;5,1,E86*'Reference Curves'!$AE$259),2),
IF($C$20= "Fall",ROUND(IF(E86&gt;8,1,E86*'Reference Curves'!$AF$259),2)))),
IF($C$20= "Winter/Spring", ROUND(IF(E86&gt;8,1,E86*'Reference Curves'!$AD$293),2),
IF($C$20= "Summer",ROUND(IF(E86&gt;7,1,E86*'Reference Curves'!$AE$293),2),
 IF($C$20= "Fall",ROUND(IF(E86&gt;8,1,E86*'Reference Curves'!$AF$293),2)))))),
IF($C$6 = "Coastal Plain", IF($C$13 &lt;=5,
IF( $C$20= "Winter/Spring", ROUND(IF(E86&gt;=33,1,E86*'Reference Curves'!$AD$325),2),
IF($C$20= "Summer", ROUND(IF(E86&gt;=14,1,E86*'Reference Curves'!$AE$325),2),
IF($C$20= "Fall", ROUND(IF(E86&gt;=25,1,E86*'Reference Curves'!$AF$325),2)))),
IF($C$13&lt;10, IF($C$20= "Winter/Spring", ROUND(IF(E86&gt;20,1,E86*'Reference Curves'!$AD$357),2),
IF($C$20= "Summer",ROUND(IF(E86&gt;13,1,E86*'Reference Curves'!$AE$357),2),
IF($C$20= "Fall",ROUND(IF(E86&gt;12,1,E86*'Reference Curves'!$AF$357),2)))),
IF($C$20= "Winter/Spring", ROUND(IF(E86&gt;17,1,E86*'Reference Curves'!$AD$391),2),
IF($C$20= "Summer",ROUND(IF(E86&gt;16,1,E86*'Reference Curves'!$AE$391),2),
IF($C$20= "Fall",ROUND(IF(E86&gt;8,1,E86*'Reference Curves'!$AF$391),2))))))))))</f>
        <v/>
      </c>
      <c r="F117" s="69" t="str">
        <f>IF(F86="","",IF($C$6 = "Mountains", IF($C$13 &lt;=5,
IF( $C$20= "Winter/Spring", ROUND(IF(F86&gt;=23,1,F86*'Reference Curves'!$AD$121+'Reference Curves'!$AD$122),2),
IF($C$20= "Summer", ROUND(IF(F86&gt;=21,1,F86*'Reference Curves'!$AE$121),2),
IF($C$20= "Fall", ROUND(IF(F86&gt;=18,1,F86*'Reference Curves'!$AF$121),2)))),
IF($C$13&lt;10, IF($C$20= "Winter/Spring", ROUND(IF(F86&gt;16,1,F86*'Reference Curves'!$AD$155),2),
IF($C$20= "Summer",ROUND(IF(F86&gt;14,1,F86*'Reference Curves'!$AE$155),2),
IF($C$20= "Fall",ROUND(IF(F86&gt;12,1,F86*'Reference Curves'!$AF$155),2)))),
IF($C$20= "Winter/Spring", ROUND(IF(F86&gt;14,1,F86*'Reference Curves'!$AD$189),2),
IF($C$20= "Summer",ROUND(IF(F86&gt;16,1,F86*'Reference Curves'!$AE$189),2),
IF($C$20= "Fall",ROUND(IF(F86&gt;15,1,F86*'Reference Curves'!$AF$189),2)))))),
IF($C$6 = "Piedmont",  IF($C$13 &lt;=5,
IF( $C$20= "Winter/Spring", ROUND(IF(F86&gt;=18,1,F86*'Reference Curves'!$AD$223),2),
IF($C$20= "Summer", ROUND(IF(F86&gt;=12,1,F86*'Reference Curves'!$AE$223),2),
IF($C$20= "Fall", ROUND(IF(F86&gt;=14,1,F86*'Reference Curves'!$AF$223),2)))),
IF($C$13&lt;10, IF($C$20= "Winter/Spring", ROUND(IF(F86&gt;12,1,F86*'Reference Curves'!$AD$259),2),
IF($C$20= "Summer",ROUND(IF(F86&gt;5,1,F86*'Reference Curves'!$AE$259),2),
IF($C$20= "Fall",ROUND(IF(F86&gt;8,1,F86*'Reference Curves'!$AF$259),2)))),
IF($C$20= "Winter/Spring", ROUND(IF(F86&gt;8,1,F86*'Reference Curves'!$AD$293),2),
IF($C$20= "Summer",ROUND(IF(F86&gt;7,1,F86*'Reference Curves'!$AE$293),2),
 IF($C$20= "Fall",ROUND(IF(F86&gt;8,1,F86*'Reference Curves'!$AF$293),2)))))),
IF($C$6 = "Coastal Plain", IF($C$13 &lt;=5,
IF( $C$20= "Winter/Spring", ROUND(IF(F86&gt;=33,1,F86*'Reference Curves'!$AD$325),2),
IF($C$20= "Summer", ROUND(IF(F86&gt;=14,1,F86*'Reference Curves'!$AE$325),2),
IF($C$20= "Fall", ROUND(IF(F86&gt;=25,1,F86*'Reference Curves'!$AF$325),2)))),
IF($C$13&lt;10, IF($C$20= "Winter/Spring", ROUND(IF(F86&gt;20,1,F86*'Reference Curves'!$AD$357),2),
IF($C$20= "Summer",ROUND(IF(F86&gt;13,1,F86*'Reference Curves'!$AE$357),2),
IF($C$20= "Fall",ROUND(IF(F86&gt;12,1,F86*'Reference Curves'!$AF$357),2)))),
IF($C$20= "Winter/Spring", ROUND(IF(F86&gt;17,1,F86*'Reference Curves'!$AD$391),2),
IF($C$20= "Summer",ROUND(IF(F86&gt;16,1,F86*'Reference Curves'!$AE$391),2),
IF($C$20= "Fall",ROUND(IF(F86&gt;8,1,F86*'Reference Curves'!$AF$391),2))))))))))</f>
        <v/>
      </c>
      <c r="G117" s="69" t="str">
        <f>IF(G86="","",IF($C$6 = "Mountains", IF($C$13 &lt;=5,
IF( $C$20= "Winter/Spring", ROUND(IF(G86&gt;=23,1,G86*'Reference Curves'!$AD$121+'Reference Curves'!$AD$122),2),
IF($C$20= "Summer", ROUND(IF(G86&gt;=21,1,G86*'Reference Curves'!$AE$121),2),
IF($C$20= "Fall", ROUND(IF(G86&gt;=18,1,G86*'Reference Curves'!$AF$121),2)))),
IF($C$13&lt;10, IF($C$20= "Winter/Spring", ROUND(IF(G86&gt;16,1,G86*'Reference Curves'!$AD$155),2),
IF($C$20= "Summer",ROUND(IF(G86&gt;14,1,G86*'Reference Curves'!$AE$155),2),
IF($C$20= "Fall",ROUND(IF(G86&gt;12,1,G86*'Reference Curves'!$AF$155),2)))),
IF($C$20= "Winter/Spring", ROUND(IF(G86&gt;14,1,G86*'Reference Curves'!$AD$189),2),
IF($C$20= "Summer",ROUND(IF(G86&gt;16,1,G86*'Reference Curves'!$AE$189),2),
IF($C$20= "Fall",ROUND(IF(G86&gt;15,1,G86*'Reference Curves'!$AF$189),2)))))),
IF($C$6 = "Piedmont",  IF($C$13 &lt;=5,
IF( $C$20= "Winter/Spring", ROUND(IF(G86&gt;=18,1,G86*'Reference Curves'!$AD$223),2),
IF($C$20= "Summer", ROUND(IF(G86&gt;=12,1,G86*'Reference Curves'!$AE$223),2),
IF($C$20= "Fall", ROUND(IF(G86&gt;=14,1,G86*'Reference Curves'!$AF$223),2)))),
IF($C$13&lt;10, IF($C$20= "Winter/Spring", ROUND(IF(G86&gt;12,1,G86*'Reference Curves'!$AD$259),2),
IF($C$20= "Summer",ROUND(IF(G86&gt;5,1,G86*'Reference Curves'!$AE$259),2),
IF($C$20= "Fall",ROUND(IF(G86&gt;8,1,G86*'Reference Curves'!$AF$259),2)))),
IF($C$20= "Winter/Spring", ROUND(IF(G86&gt;8,1,G86*'Reference Curves'!$AD$293),2),
IF($C$20= "Summer",ROUND(IF(G86&gt;7,1,G86*'Reference Curves'!$AE$293),2),
 IF($C$20= "Fall",ROUND(IF(G86&gt;8,1,G86*'Reference Curves'!$AF$293),2)))))),
IF($C$6 = "Coastal Plain", IF($C$13 &lt;=5,
IF( $C$20= "Winter/Spring", ROUND(IF(G86&gt;=33,1,G86*'Reference Curves'!$AD$325),2),
IF($C$20= "Summer", ROUND(IF(G86&gt;=14,1,G86*'Reference Curves'!$AE$325),2),
IF($C$20= "Fall", ROUND(IF(G86&gt;=25,1,G86*'Reference Curves'!$AF$325),2)))),
IF($C$13&lt;10, IF($C$20= "Winter/Spring", ROUND(IF(G86&gt;20,1,G86*'Reference Curves'!$AD$357),2),
IF($C$20= "Summer",ROUND(IF(G86&gt;13,1,G86*'Reference Curves'!$AE$357),2),
IF($C$20= "Fall",ROUND(IF(G86&gt;12,1,G86*'Reference Curves'!$AF$357),2)))),
IF($C$20= "Winter/Spring", ROUND(IF(G86&gt;17,1,G86*'Reference Curves'!$AD$391),2),
IF($C$20= "Summer",ROUND(IF(G86&gt;16,1,G86*'Reference Curves'!$AE$391),2),
IF($C$20= "Fall",ROUND(IF(G86&gt;8,1,G86*'Reference Curves'!$AF$391),2))))))))))</f>
        <v/>
      </c>
      <c r="H117" s="69" t="str">
        <f>IF(H86="","",IF($C$6 = "Mountains", IF($C$13 &lt;=5,
IF( $C$20= "Winter/Spring", ROUND(IF(H86&gt;=23,1,H86*'Reference Curves'!$AD$121+'Reference Curves'!$AD$122),2),
IF($C$20= "Summer", ROUND(IF(H86&gt;=21,1,H86*'Reference Curves'!$AE$121),2),
IF($C$20= "Fall", ROUND(IF(H86&gt;=18,1,H86*'Reference Curves'!$AF$121),2)))),
IF($C$13&lt;10, IF($C$20= "Winter/Spring", ROUND(IF(H86&gt;16,1,H86*'Reference Curves'!$AD$155),2),
IF($C$20= "Summer",ROUND(IF(H86&gt;14,1,H86*'Reference Curves'!$AE$155),2),
IF($C$20= "Fall",ROUND(IF(H86&gt;12,1,H86*'Reference Curves'!$AF$155),2)))),
IF($C$20= "Winter/Spring", ROUND(IF(H86&gt;14,1,H86*'Reference Curves'!$AD$189),2),
IF($C$20= "Summer",ROUND(IF(H86&gt;16,1,H86*'Reference Curves'!$AE$189),2),
IF($C$20= "Fall",ROUND(IF(H86&gt;15,1,H86*'Reference Curves'!$AF$189),2)))))),
IF($C$6 = "Piedmont",  IF($C$13 &lt;=5,
IF( $C$20= "Winter/Spring", ROUND(IF(H86&gt;=18,1,H86*'Reference Curves'!$AD$223),2),
IF($C$20= "Summer", ROUND(IF(H86&gt;=12,1,H86*'Reference Curves'!$AE$223),2),
IF($C$20= "Fall", ROUND(IF(H86&gt;=14,1,H86*'Reference Curves'!$AF$223),2)))),
IF($C$13&lt;10, IF($C$20= "Winter/Spring", ROUND(IF(H86&gt;12,1,H86*'Reference Curves'!$AD$259),2),
IF($C$20= "Summer",ROUND(IF(H86&gt;5,1,H86*'Reference Curves'!$AE$259),2),
IF($C$20= "Fall",ROUND(IF(H86&gt;8,1,H86*'Reference Curves'!$AF$259),2)))),
IF($C$20= "Winter/Spring", ROUND(IF(H86&gt;8,1,H86*'Reference Curves'!$AD$293),2),
IF($C$20= "Summer",ROUND(IF(H86&gt;7,1,H86*'Reference Curves'!$AE$293),2),
 IF($C$20= "Fall",ROUND(IF(H86&gt;8,1,H86*'Reference Curves'!$AF$293),2)))))),
IF($C$6 = "Coastal Plain", IF($C$13 &lt;=5,
IF( $C$20= "Winter/Spring", ROUND(IF(H86&gt;=33,1,H86*'Reference Curves'!$AD$325),2),
IF($C$20= "Summer", ROUND(IF(H86&gt;=14,1,H86*'Reference Curves'!$AE$325),2),
IF($C$20= "Fall", ROUND(IF(H86&gt;=25,1,H86*'Reference Curves'!$AF$325),2)))),
IF($C$13&lt;10, IF($C$20= "Winter/Spring", ROUND(IF(H86&gt;20,1,H86*'Reference Curves'!$AD$357),2),
IF($C$20= "Summer",ROUND(IF(H86&gt;13,1,H86*'Reference Curves'!$AE$357),2),
IF($C$20= "Fall",ROUND(IF(H86&gt;12,1,H86*'Reference Curves'!$AF$357),2)))),
IF($C$20= "Winter/Spring", ROUND(IF(H86&gt;17,1,H86*'Reference Curves'!$AD$391),2),
IF($C$20= "Summer",ROUND(IF(H86&gt;16,1,H86*'Reference Curves'!$AE$391),2),
IF($C$20= "Fall",ROUND(IF(H86&gt;8,1,H86*'Reference Curves'!$AF$391),2))))))))))</f>
        <v/>
      </c>
      <c r="I117" s="69" t="str">
        <f>IF(I86="","",IF($C$6 = "Mountains", IF($C$13 &lt;=5,
IF( $C$20= "Winter/Spring", ROUND(IF(I86&gt;=23,1,I86*'Reference Curves'!$AD$121+'Reference Curves'!$AD$122),2),
IF($C$20= "Summer", ROUND(IF(I86&gt;=21,1,I86*'Reference Curves'!$AE$121),2),
IF($C$20= "Fall", ROUND(IF(I86&gt;=18,1,I86*'Reference Curves'!$AF$121),2)))),
IF($C$13&lt;10, IF($C$20= "Winter/Spring", ROUND(IF(I86&gt;16,1,I86*'Reference Curves'!$AD$155),2),
IF($C$20= "Summer",ROUND(IF(I86&gt;14,1,I86*'Reference Curves'!$AE$155),2),
IF($C$20= "Fall",ROUND(IF(I86&gt;12,1,I86*'Reference Curves'!$AF$155),2)))),
IF($C$20= "Winter/Spring", ROUND(IF(I86&gt;14,1,I86*'Reference Curves'!$AD$189),2),
IF($C$20= "Summer",ROUND(IF(I86&gt;16,1,I86*'Reference Curves'!$AE$189),2),
IF($C$20= "Fall",ROUND(IF(I86&gt;15,1,I86*'Reference Curves'!$AF$189),2)))))),
IF($C$6 = "Piedmont",  IF($C$13 &lt;=5,
IF( $C$20= "Winter/Spring", ROUND(IF(I86&gt;=18,1,I86*'Reference Curves'!$AD$223),2),
IF($C$20= "Summer", ROUND(IF(I86&gt;=12,1,I86*'Reference Curves'!$AE$223),2),
IF($C$20= "Fall", ROUND(IF(I86&gt;=14,1,I86*'Reference Curves'!$AF$223),2)))),
IF($C$13&lt;10, IF($C$20= "Winter/Spring", ROUND(IF(I86&gt;12,1,I86*'Reference Curves'!$AD$259),2),
IF($C$20= "Summer",ROUND(IF(I86&gt;5,1,I86*'Reference Curves'!$AE$259),2),
IF($C$20= "Fall",ROUND(IF(I86&gt;8,1,I86*'Reference Curves'!$AF$259),2)))),
IF($C$20= "Winter/Spring", ROUND(IF(I86&gt;8,1,I86*'Reference Curves'!$AD$293),2),
IF($C$20= "Summer",ROUND(IF(I86&gt;7,1,I86*'Reference Curves'!$AE$293),2),
 IF($C$20= "Fall",ROUND(IF(I86&gt;8,1,I86*'Reference Curves'!$AF$293),2)))))),
IF($C$6 = "Coastal Plain", IF($C$13 &lt;=5,
IF( $C$20= "Winter/Spring", ROUND(IF(I86&gt;=33,1,I86*'Reference Curves'!$AD$325),2),
IF($C$20= "Summer", ROUND(IF(I86&gt;=14,1,I86*'Reference Curves'!$AE$325),2),
IF($C$20= "Fall", ROUND(IF(I86&gt;=25,1,I86*'Reference Curves'!$AF$325),2)))),
IF($C$13&lt;10, IF($C$20= "Winter/Spring", ROUND(IF(I86&gt;20,1,I86*'Reference Curves'!$AD$357),2),
IF($C$20= "Summer",ROUND(IF(I86&gt;13,1,I86*'Reference Curves'!$AE$357),2),
IF($C$20= "Fall",ROUND(IF(I86&gt;12,1,I86*'Reference Curves'!$AF$357),2)))),
IF($C$20= "Winter/Spring", ROUND(IF(I86&gt;17,1,I86*'Reference Curves'!$AD$391),2),
IF($C$20= "Summer",ROUND(IF(I86&gt;16,1,I86*'Reference Curves'!$AE$391),2),
IF($C$20= "Fall",ROUND(IF(I86&gt;8,1,I86*'Reference Curves'!$AF$391),2))))))))))</f>
        <v/>
      </c>
      <c r="J117" s="69" t="str">
        <f>IF(J86="","",IF($C$6 = "Mountains", IF($C$13 &lt;=5,
IF( $C$20= "Winter/Spring", ROUND(IF(J86&gt;=23,1,J86*'Reference Curves'!$AD$121+'Reference Curves'!$AD$122),2),
IF($C$20= "Summer", ROUND(IF(J86&gt;=21,1,J86*'Reference Curves'!$AE$121),2),
IF($C$20= "Fall", ROUND(IF(J86&gt;=18,1,J86*'Reference Curves'!$AF$121),2)))),
IF($C$13&lt;10, IF($C$20= "Winter/Spring", ROUND(IF(J86&gt;16,1,J86*'Reference Curves'!$AD$155),2),
IF($C$20= "Summer",ROUND(IF(J86&gt;14,1,J86*'Reference Curves'!$AE$155),2),
IF($C$20= "Fall",ROUND(IF(J86&gt;12,1,J86*'Reference Curves'!$AF$155),2)))),
IF($C$20= "Winter/Spring", ROUND(IF(J86&gt;14,1,J86*'Reference Curves'!$AD$189),2),
IF($C$20= "Summer",ROUND(IF(J86&gt;16,1,J86*'Reference Curves'!$AE$189),2),
IF($C$20= "Fall",ROUND(IF(J86&gt;15,1,J86*'Reference Curves'!$AF$189),2)))))),
IF($C$6 = "Piedmont",  IF($C$13 &lt;=5,
IF( $C$20= "Winter/Spring", ROUND(IF(J86&gt;=18,1,J86*'Reference Curves'!$AD$223),2),
IF($C$20= "Summer", ROUND(IF(J86&gt;=12,1,J86*'Reference Curves'!$AE$223),2),
IF($C$20= "Fall", ROUND(IF(J86&gt;=14,1,J86*'Reference Curves'!$AF$223),2)))),
IF($C$13&lt;10, IF($C$20= "Winter/Spring", ROUND(IF(J86&gt;12,1,J86*'Reference Curves'!$AD$259),2),
IF($C$20= "Summer",ROUND(IF(J86&gt;5,1,J86*'Reference Curves'!$AE$259),2),
IF($C$20= "Fall",ROUND(IF(J86&gt;8,1,J86*'Reference Curves'!$AF$259),2)))),
IF($C$20= "Winter/Spring", ROUND(IF(J86&gt;8,1,J86*'Reference Curves'!$AD$293),2),
IF($C$20= "Summer",ROUND(IF(J86&gt;7,1,J86*'Reference Curves'!$AE$293),2),
 IF($C$20= "Fall",ROUND(IF(J86&gt;8,1,J86*'Reference Curves'!$AF$293),2)))))),
IF($C$6 = "Coastal Plain", IF($C$13 &lt;=5,
IF( $C$20= "Winter/Spring", ROUND(IF(J86&gt;=33,1,J86*'Reference Curves'!$AD$325),2),
IF($C$20= "Summer", ROUND(IF(J86&gt;=14,1,J86*'Reference Curves'!$AE$325),2),
IF($C$20= "Fall", ROUND(IF(J86&gt;=25,1,J86*'Reference Curves'!$AF$325),2)))),
IF($C$13&lt;10, IF($C$20= "Winter/Spring", ROUND(IF(J86&gt;20,1,J86*'Reference Curves'!$AD$357),2),
IF($C$20= "Summer",ROUND(IF(J86&gt;13,1,J86*'Reference Curves'!$AE$357),2),
IF($C$20= "Fall",ROUND(IF(J86&gt;12,1,J86*'Reference Curves'!$AF$357),2)))),
IF($C$20= "Winter/Spring", ROUND(IF(J86&gt;17,1,J86*'Reference Curves'!$AD$391),2),
IF($C$20= "Summer",ROUND(IF(J86&gt;16,1,J86*'Reference Curves'!$AE$391),2),
IF($C$20= "Fall",ROUND(IF(J86&gt;8,1,J86*'Reference Curves'!$AF$391),2))))))))))</f>
        <v/>
      </c>
      <c r="K117" s="69" t="str">
        <f>IF(K86="","",IF($C$6 = "Mountains", IF($C$13 &lt;=5,
IF( $C$20= "Winter/Spring", ROUND(IF(K86&gt;=23,1,K86*'Reference Curves'!$AD$121+'Reference Curves'!$AD$122),2),
IF($C$20= "Summer", ROUND(IF(K86&gt;=21,1,K86*'Reference Curves'!$AE$121),2),
IF($C$20= "Fall", ROUND(IF(K86&gt;=18,1,K86*'Reference Curves'!$AF$121),2)))),
IF($C$13&lt;10, IF($C$20= "Winter/Spring", ROUND(IF(K86&gt;16,1,K86*'Reference Curves'!$AD$155),2),
IF($C$20= "Summer",ROUND(IF(K86&gt;14,1,K86*'Reference Curves'!$AE$155),2),
IF($C$20= "Fall",ROUND(IF(K86&gt;12,1,K86*'Reference Curves'!$AF$155),2)))),
IF($C$20= "Winter/Spring", ROUND(IF(K86&gt;14,1,K86*'Reference Curves'!$AD$189),2),
IF($C$20= "Summer",ROUND(IF(K86&gt;16,1,K86*'Reference Curves'!$AE$189),2),
IF($C$20= "Fall",ROUND(IF(K86&gt;15,1,K86*'Reference Curves'!$AF$189),2)))))),
IF($C$6 = "Piedmont",  IF($C$13 &lt;=5,
IF( $C$20= "Winter/Spring", ROUND(IF(K86&gt;=18,1,K86*'Reference Curves'!$AD$223),2),
IF($C$20= "Summer", ROUND(IF(K86&gt;=12,1,K86*'Reference Curves'!$AE$223),2),
IF($C$20= "Fall", ROUND(IF(K86&gt;=14,1,K86*'Reference Curves'!$AF$223),2)))),
IF($C$13&lt;10, IF($C$20= "Winter/Spring", ROUND(IF(K86&gt;12,1,K86*'Reference Curves'!$AD$259),2),
IF($C$20= "Summer",ROUND(IF(K86&gt;5,1,K86*'Reference Curves'!$AE$259),2),
IF($C$20= "Fall",ROUND(IF(K86&gt;8,1,K86*'Reference Curves'!$AF$259),2)))),
IF($C$20= "Winter/Spring", ROUND(IF(K86&gt;8,1,K86*'Reference Curves'!$AD$293),2),
IF($C$20= "Summer",ROUND(IF(K86&gt;7,1,K86*'Reference Curves'!$AE$293),2),
 IF($C$20= "Fall",ROUND(IF(K86&gt;8,1,K86*'Reference Curves'!$AF$293),2)))))),
IF($C$6 = "Coastal Plain", IF($C$13 &lt;=5,
IF( $C$20= "Winter/Spring", ROUND(IF(K86&gt;=33,1,K86*'Reference Curves'!$AD$325),2),
IF($C$20= "Summer", ROUND(IF(K86&gt;=14,1,K86*'Reference Curves'!$AE$325),2),
IF($C$20= "Fall", ROUND(IF(K86&gt;=25,1,K86*'Reference Curves'!$AF$325),2)))),
IF($C$13&lt;10, IF($C$20= "Winter/Spring", ROUND(IF(K86&gt;20,1,K86*'Reference Curves'!$AD$357),2),
IF($C$20= "Summer",ROUND(IF(K86&gt;13,1,K86*'Reference Curves'!$AE$357),2),
IF($C$20= "Fall",ROUND(IF(K86&gt;12,1,K86*'Reference Curves'!$AF$357),2)))),
IF($C$20= "Winter/Spring", ROUND(IF(K86&gt;17,1,K86*'Reference Curves'!$AD$391),2),
IF($C$20= "Summer",ROUND(IF(K86&gt;16,1,K86*'Reference Curves'!$AE$391),2),
IF($C$20= "Fall",ROUND(IF(K86&gt;8,1,K86*'Reference Curves'!$AF$391),2))))))))))</f>
        <v/>
      </c>
      <c r="L117" s="69" t="str">
        <f>IF(L86="","",IF($C$6 = "Mountains", IF($C$13 &lt;=5,
IF( $C$20= "Winter/Spring", ROUND(IF(L86&gt;=23,1,L86*'Reference Curves'!$AD$121+'Reference Curves'!$AD$122),2),
IF($C$20= "Summer", ROUND(IF(L86&gt;=21,1,L86*'Reference Curves'!$AE$121),2),
IF($C$20= "Fall", ROUND(IF(L86&gt;=18,1,L86*'Reference Curves'!$AF$121),2)))),
IF($C$13&lt;10, IF($C$20= "Winter/Spring", ROUND(IF(L86&gt;16,1,L86*'Reference Curves'!$AD$155),2),
IF($C$20= "Summer",ROUND(IF(L86&gt;14,1,L86*'Reference Curves'!$AE$155),2),
IF($C$20= "Fall",ROUND(IF(L86&gt;12,1,L86*'Reference Curves'!$AF$155),2)))),
IF($C$20= "Winter/Spring", ROUND(IF(L86&gt;14,1,L86*'Reference Curves'!$AD$189),2),
IF($C$20= "Summer",ROUND(IF(L86&gt;16,1,L86*'Reference Curves'!$AE$189),2),
IF($C$20= "Fall",ROUND(IF(L86&gt;15,1,L86*'Reference Curves'!$AF$189),2)))))),
IF($C$6 = "Piedmont",  IF($C$13 &lt;=5,
IF( $C$20= "Winter/Spring", ROUND(IF(L86&gt;=18,1,L86*'Reference Curves'!$AD$223),2),
IF($C$20= "Summer", ROUND(IF(L86&gt;=12,1,L86*'Reference Curves'!$AE$223),2),
IF($C$20= "Fall", ROUND(IF(L86&gt;=14,1,L86*'Reference Curves'!$AF$223),2)))),
IF($C$13&lt;10, IF($C$20= "Winter/Spring", ROUND(IF(L86&gt;12,1,L86*'Reference Curves'!$AD$259),2),
IF($C$20= "Summer",ROUND(IF(L86&gt;5,1,L86*'Reference Curves'!$AE$259),2),
IF($C$20= "Fall",ROUND(IF(L86&gt;8,1,L86*'Reference Curves'!$AF$259),2)))),
IF($C$20= "Winter/Spring", ROUND(IF(L86&gt;8,1,L86*'Reference Curves'!$AD$293),2),
IF($C$20= "Summer",ROUND(IF(L86&gt;7,1,L86*'Reference Curves'!$AE$293),2),
 IF($C$20= "Fall",ROUND(IF(L86&gt;8,1,L86*'Reference Curves'!$AF$293),2)))))),
IF($C$6 = "Coastal Plain", IF($C$13 &lt;=5,
IF( $C$20= "Winter/Spring", ROUND(IF(L86&gt;=33,1,L86*'Reference Curves'!$AD$325),2),
IF($C$20= "Summer", ROUND(IF(L86&gt;=14,1,L86*'Reference Curves'!$AE$325),2),
IF($C$20= "Fall", ROUND(IF(L86&gt;=25,1,L86*'Reference Curves'!$AF$325),2)))),
IF($C$13&lt;10, IF($C$20= "Winter/Spring", ROUND(IF(L86&gt;20,1,L86*'Reference Curves'!$AD$357),2),
IF($C$20= "Summer",ROUND(IF(L86&gt;13,1,L86*'Reference Curves'!$AE$357),2),
IF($C$20= "Fall",ROUND(IF(L86&gt;12,1,L86*'Reference Curves'!$AF$357),2)))),
IF($C$20= "Winter/Spring", ROUND(IF(L86&gt;17,1,L86*'Reference Curves'!$AD$391),2),
IF($C$20= "Summer",ROUND(IF(L86&gt;16,1,L86*'Reference Curves'!$AE$391),2),
IF($C$20= "Fall",ROUND(IF(L86&gt;8,1,L86*'Reference Curves'!$AF$391),2))))))))))</f>
        <v/>
      </c>
      <c r="M117" s="69" t="str">
        <f>IF(M86="","",IF($C$6 = "Mountains", IF($C$13 &lt;=5,
IF( $C$20= "Winter/Spring", ROUND(IF(M86&gt;=23,1,M86*'Reference Curves'!$AD$121+'Reference Curves'!$AD$122),2),
IF($C$20= "Summer", ROUND(IF(M86&gt;=21,1,M86*'Reference Curves'!$AE$121),2),
IF($C$20= "Fall", ROUND(IF(M86&gt;=18,1,M86*'Reference Curves'!$AF$121),2)))),
IF($C$13&lt;10, IF($C$20= "Winter/Spring", ROUND(IF(M86&gt;16,1,M86*'Reference Curves'!$AD$155),2),
IF($C$20= "Summer",ROUND(IF(M86&gt;14,1,M86*'Reference Curves'!$AE$155),2),
IF($C$20= "Fall",ROUND(IF(M86&gt;12,1,M86*'Reference Curves'!$AF$155),2)))),
IF($C$20= "Winter/Spring", ROUND(IF(M86&gt;14,1,M86*'Reference Curves'!$AD$189),2),
IF($C$20= "Summer",ROUND(IF(M86&gt;16,1,M86*'Reference Curves'!$AE$189),2),
IF($C$20= "Fall",ROUND(IF(M86&gt;15,1,M86*'Reference Curves'!$AF$189),2)))))),
IF($C$6 = "Piedmont",  IF($C$13 &lt;=5,
IF( $C$20= "Winter/Spring", ROUND(IF(M86&gt;=18,1,M86*'Reference Curves'!$AD$223),2),
IF($C$20= "Summer", ROUND(IF(M86&gt;=12,1,M86*'Reference Curves'!$AE$223),2),
IF($C$20= "Fall", ROUND(IF(M86&gt;=14,1,M86*'Reference Curves'!$AF$223),2)))),
IF($C$13&lt;10, IF($C$20= "Winter/Spring", ROUND(IF(M86&gt;12,1,M86*'Reference Curves'!$AD$259),2),
IF($C$20= "Summer",ROUND(IF(M86&gt;5,1,M86*'Reference Curves'!$AE$259),2),
IF($C$20= "Fall",ROUND(IF(M86&gt;8,1,M86*'Reference Curves'!$AF$259),2)))),
IF($C$20= "Winter/Spring", ROUND(IF(M86&gt;8,1,M86*'Reference Curves'!$AD$293),2),
IF($C$20= "Summer",ROUND(IF(M86&gt;7,1,M86*'Reference Curves'!$AE$293),2),
 IF($C$20= "Fall",ROUND(IF(M86&gt;8,1,M86*'Reference Curves'!$AF$293),2)))))),
IF($C$6 = "Coastal Plain", IF($C$13 &lt;=5,
IF( $C$20= "Winter/Spring", ROUND(IF(M86&gt;=33,1,M86*'Reference Curves'!$AD$325),2),
IF($C$20= "Summer", ROUND(IF(M86&gt;=14,1,M86*'Reference Curves'!$AE$325),2),
IF($C$20= "Fall", ROUND(IF(M86&gt;=25,1,M86*'Reference Curves'!$AF$325),2)))),
IF($C$13&lt;10, IF($C$20= "Winter/Spring", ROUND(IF(M86&gt;20,1,M86*'Reference Curves'!$AD$357),2),
IF($C$20= "Summer",ROUND(IF(M86&gt;13,1,M86*'Reference Curves'!$AE$357),2),
IF($C$20= "Fall",ROUND(IF(M86&gt;12,1,M86*'Reference Curves'!$AF$357),2)))),
IF($C$20= "Winter/Spring", ROUND(IF(M86&gt;17,1,M86*'Reference Curves'!$AD$391),2),
IF($C$20= "Summer",ROUND(IF(M86&gt;16,1,M86*'Reference Curves'!$AE$391),2),
IF($C$20= "Fall",ROUND(IF(M86&gt;8,1,M86*'Reference Curves'!$AF$391),2))))))))))</f>
        <v/>
      </c>
      <c r="N117" s="69" t="str">
        <f>IF(N86="","",IF($C$6 = "Mountains", IF($C$13 &lt;=5,
IF( $C$20= "Winter/Spring", ROUND(IF(N86&gt;=23,1,N86*'Reference Curves'!$AD$121+'Reference Curves'!$AD$122),2),
IF($C$20= "Summer", ROUND(IF(N86&gt;=21,1,N86*'Reference Curves'!$AE$121),2),
IF($C$20= "Fall", ROUND(IF(N86&gt;=18,1,N86*'Reference Curves'!$AF$121),2)))),
IF($C$13&lt;10, IF($C$20= "Winter/Spring", ROUND(IF(N86&gt;16,1,N86*'Reference Curves'!$AD$155),2),
IF($C$20= "Summer",ROUND(IF(N86&gt;14,1,N86*'Reference Curves'!$AE$155),2),
IF($C$20= "Fall",ROUND(IF(N86&gt;12,1,N86*'Reference Curves'!$AF$155),2)))),
IF($C$20= "Winter/Spring", ROUND(IF(N86&gt;14,1,N86*'Reference Curves'!$AD$189),2),
IF($C$20= "Summer",ROUND(IF(N86&gt;16,1,N86*'Reference Curves'!$AE$189),2),
IF($C$20= "Fall",ROUND(IF(N86&gt;15,1,N86*'Reference Curves'!$AF$189),2)))))),
IF($C$6 = "Piedmont",  IF($C$13 &lt;=5,
IF( $C$20= "Winter/Spring", ROUND(IF(N86&gt;=18,1,N86*'Reference Curves'!$AD$223),2),
IF($C$20= "Summer", ROUND(IF(N86&gt;=12,1,N86*'Reference Curves'!$AE$223),2),
IF($C$20= "Fall", ROUND(IF(N86&gt;=14,1,N86*'Reference Curves'!$AF$223),2)))),
IF($C$13&lt;10, IF($C$20= "Winter/Spring", ROUND(IF(N86&gt;12,1,N86*'Reference Curves'!$AD$259),2),
IF($C$20= "Summer",ROUND(IF(N86&gt;5,1,N86*'Reference Curves'!$AE$259),2),
IF($C$20= "Fall",ROUND(IF(N86&gt;8,1,N86*'Reference Curves'!$AF$259),2)))),
IF($C$20= "Winter/Spring", ROUND(IF(N86&gt;8,1,N86*'Reference Curves'!$AD$293),2),
IF($C$20= "Summer",ROUND(IF(N86&gt;7,1,N86*'Reference Curves'!$AE$293),2),
 IF($C$20= "Fall",ROUND(IF(N86&gt;8,1,N86*'Reference Curves'!$AF$293),2)))))),
IF($C$6 = "Coastal Plain", IF($C$13 &lt;=5,
IF( $C$20= "Winter/Spring", ROUND(IF(N86&gt;=33,1,N86*'Reference Curves'!$AD$325),2),
IF($C$20= "Summer", ROUND(IF(N86&gt;=14,1,N86*'Reference Curves'!$AE$325),2),
IF($C$20= "Fall", ROUND(IF(N86&gt;=25,1,N86*'Reference Curves'!$AF$325),2)))),
IF($C$13&lt;10, IF($C$20= "Winter/Spring", ROUND(IF(N86&gt;20,1,N86*'Reference Curves'!$AD$357),2),
IF($C$20= "Summer",ROUND(IF(N86&gt;13,1,N86*'Reference Curves'!$AE$357),2),
IF($C$20= "Fall",ROUND(IF(N86&gt;12,1,N86*'Reference Curves'!$AF$357),2)))),
IF($C$20= "Winter/Spring", ROUND(IF(N86&gt;17,1,N86*'Reference Curves'!$AD$391),2),
IF($C$20= "Summer",ROUND(IF(N86&gt;16,1,N86*'Reference Curves'!$AE$391),2),
IF($C$20= "Fall",ROUND(IF(N86&gt;8,1,N86*'Reference Curves'!$AF$391),2))))))))))</f>
        <v/>
      </c>
      <c r="O117" s="69" t="str">
        <f>IF(O86="","",IF($C$6 = "Mountains", IF($C$13 &lt;=5,
IF( $C$20= "Winter/Spring", ROUND(IF(O86&gt;=23,1,O86*'Reference Curves'!$AD$121+'Reference Curves'!$AD$122),2),
IF($C$20= "Summer", ROUND(IF(O86&gt;=21,1,O86*'Reference Curves'!$AE$121),2),
IF($C$20= "Fall", ROUND(IF(O86&gt;=18,1,O86*'Reference Curves'!$AF$121),2)))),
IF($C$13&lt;10, IF($C$20= "Winter/Spring", ROUND(IF(O86&gt;16,1,O86*'Reference Curves'!$AD$155),2),
IF($C$20= "Summer",ROUND(IF(O86&gt;14,1,O86*'Reference Curves'!$AE$155),2),
IF($C$20= "Fall",ROUND(IF(O86&gt;12,1,O86*'Reference Curves'!$AF$155),2)))),
IF($C$20= "Winter/Spring", ROUND(IF(O86&gt;14,1,O86*'Reference Curves'!$AD$189),2),
IF($C$20= "Summer",ROUND(IF(O86&gt;16,1,O86*'Reference Curves'!$AE$189),2),
IF($C$20= "Fall",ROUND(IF(O86&gt;15,1,O86*'Reference Curves'!$AF$189),2)))))),
IF($C$6 = "Piedmont",  IF($C$13 &lt;=5,
IF( $C$20= "Winter/Spring", ROUND(IF(O86&gt;=18,1,O86*'Reference Curves'!$AD$223),2),
IF($C$20= "Summer", ROUND(IF(O86&gt;=12,1,O86*'Reference Curves'!$AE$223),2),
IF($C$20= "Fall", ROUND(IF(O86&gt;=14,1,O86*'Reference Curves'!$AF$223),2)))),
IF($C$13&lt;10, IF($C$20= "Winter/Spring", ROUND(IF(O86&gt;12,1,O86*'Reference Curves'!$AD$259),2),
IF($C$20= "Summer",ROUND(IF(O86&gt;5,1,O86*'Reference Curves'!$AE$259),2),
IF($C$20= "Fall",ROUND(IF(O86&gt;8,1,O86*'Reference Curves'!$AF$259),2)))),
IF($C$20= "Winter/Spring", ROUND(IF(O86&gt;8,1,O86*'Reference Curves'!$AD$293),2),
IF($C$20= "Summer",ROUND(IF(O86&gt;7,1,O86*'Reference Curves'!$AE$293),2),
 IF($C$20= "Fall",ROUND(IF(O86&gt;8,1,O86*'Reference Curves'!$AF$293),2)))))),
IF($C$6 = "Coastal Plain", IF($C$13 &lt;=5,
IF( $C$20= "Winter/Spring", ROUND(IF(O86&gt;=33,1,O86*'Reference Curves'!$AD$325),2),
IF($C$20= "Summer", ROUND(IF(O86&gt;=14,1,O86*'Reference Curves'!$AE$325),2),
IF($C$20= "Fall", ROUND(IF(O86&gt;=25,1,O86*'Reference Curves'!$AF$325),2)))),
IF($C$13&lt;10, IF($C$20= "Winter/Spring", ROUND(IF(O86&gt;20,1,O86*'Reference Curves'!$AD$357),2),
IF($C$20= "Summer",ROUND(IF(O86&gt;13,1,O86*'Reference Curves'!$AE$357),2),
IF($C$20= "Fall",ROUND(IF(O86&gt;12,1,O86*'Reference Curves'!$AF$357),2)))),
IF($C$20= "Winter/Spring", ROUND(IF(O86&gt;17,1,O86*'Reference Curves'!$AD$391),2),
IF($C$20= "Summer",ROUND(IF(O86&gt;16,1,O86*'Reference Curves'!$AE$391),2),
IF($C$20= "Fall",ROUND(IF(O86&gt;8,1,O86*'Reference Curves'!$AF$391),2))))))))))</f>
        <v/>
      </c>
    </row>
    <row r="118" spans="1:15" ht="15.5" x14ac:dyDescent="0.35">
      <c r="A118" s="415" t="s">
        <v>87</v>
      </c>
      <c r="B118" s="290" t="s">
        <v>417</v>
      </c>
      <c r="C118" s="454" t="s">
        <v>416</v>
      </c>
      <c r="D118" s="455"/>
      <c r="E118" s="69" t="str">
        <f>IF(E87="","",(IF(E87&lt;=25,E87*'Reference Curves'!$AO$495+'Reference Curves'!$AO$496,IF(E87&gt;75,E87*'Reference Curves'!$AM$495+'Reference Curves'!$AM$496,E87*'Reference Curves'!$AN$495+'Reference Curves'!$AN$496))))</f>
        <v/>
      </c>
      <c r="F118" s="69" t="str">
        <f>IF(F87="","",(IF(F87&lt;=25,F87*'Reference Curves'!$AO$495+'Reference Curves'!$AO$496,IF(F87&gt;75,F87*'Reference Curves'!$AM$495+'Reference Curves'!$AM$496,F87*'Reference Curves'!$AN$495+'Reference Curves'!$AN$496))))</f>
        <v/>
      </c>
      <c r="G118" s="69" t="str">
        <f>IF(G87="","",(IF(G87&lt;=25,G87*'Reference Curves'!$AO$495+'Reference Curves'!$AO$496,IF(G87&gt;75,G87*'Reference Curves'!$AM$495+'Reference Curves'!$AM$496,G87*'Reference Curves'!$AN$495+'Reference Curves'!$AN$496))))</f>
        <v/>
      </c>
      <c r="H118" s="69" t="str">
        <f>IF(H87="","",(IF(H87&lt;=25,H87*'Reference Curves'!$AO$495+'Reference Curves'!$AO$496,IF(H87&gt;75,H87*'Reference Curves'!$AM$495+'Reference Curves'!$AM$496,H87*'Reference Curves'!$AN$495+'Reference Curves'!$AN$496))))</f>
        <v/>
      </c>
      <c r="I118" s="69" t="str">
        <f>IF(I87="","",(IF(I87&lt;=25,I87*'Reference Curves'!$AO$495+'Reference Curves'!$AO$496,IF(I87&gt;75,I87*'Reference Curves'!$AM$495+'Reference Curves'!$AM$496,I87*'Reference Curves'!$AN$495+'Reference Curves'!$AN$496))))</f>
        <v/>
      </c>
      <c r="J118" s="69" t="str">
        <f>IF(J87="","",(IF(J87&lt;=25,J87*'Reference Curves'!$AO$495+'Reference Curves'!$AO$496,IF(J87&gt;75,J87*'Reference Curves'!$AM$495+'Reference Curves'!$AM$496,J87*'Reference Curves'!$AN$495+'Reference Curves'!$AN$496))))</f>
        <v/>
      </c>
      <c r="K118" s="69" t="str">
        <f>IF(K87="","",(IF(K87&lt;=25,K87*'Reference Curves'!$AO$495+'Reference Curves'!$AO$496,IF(K87&gt;75,K87*'Reference Curves'!$AM$495+'Reference Curves'!$AM$496,K87*'Reference Curves'!$AN$495+'Reference Curves'!$AN$496))))</f>
        <v/>
      </c>
      <c r="L118" s="69" t="str">
        <f>IF(L87="","",(IF(L87&lt;=25,L87*'Reference Curves'!$AO$495+'Reference Curves'!$AO$496,IF(L87&gt;75,L87*'Reference Curves'!$AM$495+'Reference Curves'!$AM$496,L87*'Reference Curves'!$AN$495+'Reference Curves'!$AN$496))))</f>
        <v/>
      </c>
      <c r="M118" s="69" t="str">
        <f>IF(M87="","",(IF(M87&lt;=25,M87*'Reference Curves'!$AO$495+'Reference Curves'!$AO$496,IF(M87&gt;75,M87*'Reference Curves'!$AM$495+'Reference Curves'!$AM$496,M87*'Reference Curves'!$AN$495+'Reference Curves'!$AN$496))))</f>
        <v/>
      </c>
      <c r="N118" s="69" t="str">
        <f>IF(N87="","",(IF(N87&lt;=25,N87*'Reference Curves'!$AO$495+'Reference Curves'!$AO$496,IF(N87&gt;75,N87*'Reference Curves'!$AM$495+'Reference Curves'!$AM$496,N87*'Reference Curves'!$AN$495+'Reference Curves'!$AN$496))))</f>
        <v/>
      </c>
      <c r="O118" s="69" t="str">
        <f>IF(O87="","",(IF(O87&lt;=25,O87*'Reference Curves'!$AO$495+'Reference Curves'!$AO$496,IF(O87&gt;75,O87*'Reference Curves'!$AM$495+'Reference Curves'!$AM$496,O87*'Reference Curves'!$AN$495+'Reference Curves'!$AN$496))))</f>
        <v/>
      </c>
    </row>
    <row r="119" spans="1:15" ht="15.5" x14ac:dyDescent="0.35">
      <c r="A119" s="416"/>
      <c r="B119" s="144" t="s">
        <v>88</v>
      </c>
      <c r="C119" s="144" t="s">
        <v>89</v>
      </c>
      <c r="D119" s="144"/>
      <c r="E119" s="167" t="str">
        <f t="shared" ref="E119:O119" si="1">IF(E88="Larva, Juvenile, or Subadult",1,IF(E88="Absent",0,IF(E88="&gt; 1 Adult",0.66,IF(E88="1 Adult",0.33,""))))</f>
        <v/>
      </c>
      <c r="F119" s="167" t="str">
        <f t="shared" si="1"/>
        <v/>
      </c>
      <c r="G119" s="167" t="str">
        <f t="shared" si="1"/>
        <v/>
      </c>
      <c r="H119" s="167" t="str">
        <f t="shared" si="1"/>
        <v/>
      </c>
      <c r="I119" s="167" t="str">
        <f t="shared" si="1"/>
        <v/>
      </c>
      <c r="J119" s="167" t="str">
        <f t="shared" si="1"/>
        <v/>
      </c>
      <c r="K119" s="167" t="str">
        <f t="shared" si="1"/>
        <v/>
      </c>
      <c r="L119" s="167" t="str">
        <f t="shared" si="1"/>
        <v/>
      </c>
      <c r="M119" s="167" t="str">
        <f t="shared" si="1"/>
        <v/>
      </c>
      <c r="N119" s="167" t="str">
        <f t="shared" si="1"/>
        <v/>
      </c>
      <c r="O119" s="167" t="str">
        <f t="shared" si="1"/>
        <v/>
      </c>
    </row>
    <row r="120" spans="1:15" ht="15.75" customHeight="1" x14ac:dyDescent="0.35">
      <c r="E120" s="167"/>
    </row>
    <row r="121" spans="1:15" ht="33" customHeight="1" x14ac:dyDescent="0.35">
      <c r="A121" s="168" t="s">
        <v>40</v>
      </c>
      <c r="B121" s="169" t="s">
        <v>152</v>
      </c>
      <c r="C121" s="169" t="s">
        <v>153</v>
      </c>
      <c r="D121" s="169" t="s">
        <v>154</v>
      </c>
      <c r="E121" s="168">
        <f t="shared" ref="E121:O121" si="2">E135</f>
        <v>0</v>
      </c>
      <c r="F121" s="168">
        <f t="shared" si="2"/>
        <v>0</v>
      </c>
      <c r="G121" s="168">
        <f t="shared" si="2"/>
        <v>0</v>
      </c>
      <c r="H121" s="168">
        <f t="shared" si="2"/>
        <v>0</v>
      </c>
      <c r="I121" s="168">
        <f t="shared" si="2"/>
        <v>0</v>
      </c>
      <c r="J121" s="168">
        <f t="shared" si="2"/>
        <v>0</v>
      </c>
      <c r="K121" s="168">
        <f t="shared" si="2"/>
        <v>0</v>
      </c>
      <c r="L121" s="168">
        <f t="shared" si="2"/>
        <v>0</v>
      </c>
      <c r="M121" s="168">
        <f t="shared" si="2"/>
        <v>0</v>
      </c>
      <c r="N121" s="168">
        <f t="shared" si="2"/>
        <v>0</v>
      </c>
      <c r="O121" s="168">
        <f t="shared" si="2"/>
        <v>0</v>
      </c>
    </row>
    <row r="122" spans="1:15" ht="15.75" customHeight="1" x14ac:dyDescent="0.35">
      <c r="A122" s="81" t="s">
        <v>44</v>
      </c>
      <c r="B122" s="170" t="s">
        <v>45</v>
      </c>
      <c r="C122" s="69" t="str">
        <f>G26</f>
        <v/>
      </c>
      <c r="D122" s="69" t="str">
        <f>K26</f>
        <v/>
      </c>
      <c r="E122" s="64" t="str">
        <f t="shared" ref="E122:O122" si="3">IFERROR(AVERAGE(E91:E92),"")</f>
        <v/>
      </c>
      <c r="F122" s="64" t="str">
        <f t="shared" si="3"/>
        <v/>
      </c>
      <c r="G122" s="64" t="str">
        <f t="shared" si="3"/>
        <v/>
      </c>
      <c r="H122" s="64" t="str">
        <f t="shared" si="3"/>
        <v/>
      </c>
      <c r="I122" s="64" t="str">
        <f t="shared" si="3"/>
        <v/>
      </c>
      <c r="J122" s="64" t="str">
        <f t="shared" si="3"/>
        <v/>
      </c>
      <c r="K122" s="64" t="str">
        <f t="shared" si="3"/>
        <v/>
      </c>
      <c r="L122" s="64" t="str">
        <f t="shared" si="3"/>
        <v/>
      </c>
      <c r="M122" s="64" t="str">
        <f t="shared" si="3"/>
        <v/>
      </c>
      <c r="N122" s="64" t="str">
        <f t="shared" si="3"/>
        <v/>
      </c>
      <c r="O122" s="64" t="str">
        <f t="shared" si="3"/>
        <v/>
      </c>
    </row>
    <row r="123" spans="1:15" ht="15.75" customHeight="1" x14ac:dyDescent="0.35">
      <c r="A123" s="86" t="s">
        <v>49</v>
      </c>
      <c r="B123" s="171" t="s">
        <v>50</v>
      </c>
      <c r="C123" s="69" t="str">
        <f>G28</f>
        <v/>
      </c>
      <c r="D123" s="69" t="str">
        <f>K28</f>
        <v/>
      </c>
      <c r="E123" s="64" t="str">
        <f t="shared" ref="E123:O123" si="4">IFERROR(AVERAGE(E93:E94),"")</f>
        <v/>
      </c>
      <c r="F123" s="64" t="str">
        <f t="shared" si="4"/>
        <v/>
      </c>
      <c r="G123" s="64" t="str">
        <f t="shared" si="4"/>
        <v/>
      </c>
      <c r="H123" s="64" t="str">
        <f t="shared" si="4"/>
        <v/>
      </c>
      <c r="I123" s="64" t="str">
        <f t="shared" si="4"/>
        <v/>
      </c>
      <c r="J123" s="64" t="str">
        <f t="shared" si="4"/>
        <v/>
      </c>
      <c r="K123" s="64" t="str">
        <f t="shared" si="4"/>
        <v/>
      </c>
      <c r="L123" s="64" t="str">
        <f t="shared" si="4"/>
        <v/>
      </c>
      <c r="M123" s="64" t="str">
        <f t="shared" si="4"/>
        <v/>
      </c>
      <c r="N123" s="64" t="str">
        <f t="shared" si="4"/>
        <v/>
      </c>
      <c r="O123" s="64" t="str">
        <f t="shared" si="4"/>
        <v/>
      </c>
    </row>
    <row r="124" spans="1:15" ht="15.75" customHeight="1" x14ac:dyDescent="0.35">
      <c r="A124" s="420" t="s">
        <v>54</v>
      </c>
      <c r="B124" s="172" t="s">
        <v>55</v>
      </c>
      <c r="C124" s="69" t="str">
        <f>G30</f>
        <v/>
      </c>
      <c r="D124" s="69" t="str">
        <f>K30</f>
        <v/>
      </c>
      <c r="E124" s="64" t="str">
        <f t="shared" ref="E124:O124" si="5">IFERROR(AVERAGE(E95:E95),"")</f>
        <v/>
      </c>
      <c r="F124" s="64" t="str">
        <f t="shared" si="5"/>
        <v/>
      </c>
      <c r="G124" s="64" t="str">
        <f t="shared" si="5"/>
        <v/>
      </c>
      <c r="H124" s="64" t="str">
        <f t="shared" si="5"/>
        <v/>
      </c>
      <c r="I124" s="64" t="str">
        <f t="shared" si="5"/>
        <v/>
      </c>
      <c r="J124" s="64" t="str">
        <f t="shared" si="5"/>
        <v/>
      </c>
      <c r="K124" s="64" t="str">
        <f t="shared" si="5"/>
        <v/>
      </c>
      <c r="L124" s="64" t="str">
        <f t="shared" si="5"/>
        <v/>
      </c>
      <c r="M124" s="64" t="str">
        <f t="shared" si="5"/>
        <v/>
      </c>
      <c r="N124" s="64" t="str">
        <f t="shared" si="5"/>
        <v/>
      </c>
      <c r="O124" s="64" t="str">
        <f t="shared" si="5"/>
        <v/>
      </c>
    </row>
    <row r="125" spans="1:15" ht="15.75" customHeight="1" x14ac:dyDescent="0.35">
      <c r="A125" s="421"/>
      <c r="B125" s="172" t="s">
        <v>58</v>
      </c>
      <c r="C125" s="69" t="str">
        <f>G31</f>
        <v/>
      </c>
      <c r="D125" s="69" t="str">
        <f>K31</f>
        <v/>
      </c>
      <c r="E125" s="64" t="str">
        <f>IFERROR(AVERAGE(E96:E98),"")</f>
        <v/>
      </c>
      <c r="F125" s="64" t="str">
        <f t="shared" ref="F125:O125" si="6">IFERROR(AVERAGE(F96:F98),"")</f>
        <v/>
      </c>
      <c r="G125" s="64" t="str">
        <f t="shared" si="6"/>
        <v/>
      </c>
      <c r="H125" s="64" t="str">
        <f t="shared" si="6"/>
        <v/>
      </c>
      <c r="I125" s="64" t="str">
        <f t="shared" si="6"/>
        <v/>
      </c>
      <c r="J125" s="64" t="str">
        <f t="shared" si="6"/>
        <v/>
      </c>
      <c r="K125" s="64" t="str">
        <f t="shared" si="6"/>
        <v/>
      </c>
      <c r="L125" s="64" t="str">
        <f t="shared" si="6"/>
        <v/>
      </c>
      <c r="M125" s="64" t="str">
        <f t="shared" si="6"/>
        <v/>
      </c>
      <c r="N125" s="64" t="str">
        <f t="shared" si="6"/>
        <v/>
      </c>
      <c r="O125" s="64" t="str">
        <f t="shared" si="6"/>
        <v/>
      </c>
    </row>
    <row r="126" spans="1:15" ht="15.75" customHeight="1" x14ac:dyDescent="0.35">
      <c r="A126" s="421"/>
      <c r="B126" s="172" t="s">
        <v>62</v>
      </c>
      <c r="C126" s="69" t="str">
        <f>G34</f>
        <v/>
      </c>
      <c r="D126" s="69" t="str">
        <f>K34</f>
        <v/>
      </c>
      <c r="E126" s="64" t="str">
        <f t="shared" ref="E126:O126" si="7">IFERROR(AVERAGE(E99:E106),"")</f>
        <v/>
      </c>
      <c r="F126" s="64" t="str">
        <f t="shared" si="7"/>
        <v/>
      </c>
      <c r="G126" s="64" t="str">
        <f t="shared" si="7"/>
        <v/>
      </c>
      <c r="H126" s="64" t="str">
        <f t="shared" si="7"/>
        <v/>
      </c>
      <c r="I126" s="64" t="str">
        <f t="shared" si="7"/>
        <v/>
      </c>
      <c r="J126" s="64" t="str">
        <f t="shared" si="7"/>
        <v/>
      </c>
      <c r="K126" s="64" t="str">
        <f t="shared" si="7"/>
        <v/>
      </c>
      <c r="L126" s="64" t="str">
        <f t="shared" si="7"/>
        <v/>
      </c>
      <c r="M126" s="64" t="str">
        <f t="shared" si="7"/>
        <v/>
      </c>
      <c r="N126" s="64" t="str">
        <f t="shared" si="7"/>
        <v/>
      </c>
      <c r="O126" s="64" t="str">
        <f t="shared" si="7"/>
        <v/>
      </c>
    </row>
    <row r="127" spans="1:15" ht="15.75" customHeight="1" x14ac:dyDescent="0.35">
      <c r="A127" s="421"/>
      <c r="B127" s="172" t="s">
        <v>69</v>
      </c>
      <c r="C127" s="69" t="str">
        <f>G42</f>
        <v/>
      </c>
      <c r="D127" s="69" t="str">
        <f>K42</f>
        <v/>
      </c>
      <c r="E127" s="64" t="str">
        <f t="shared" ref="E127:O127" si="8">IFERROR(AVERAGE(E107:E109),"")</f>
        <v/>
      </c>
      <c r="F127" s="64" t="str">
        <f t="shared" si="8"/>
        <v/>
      </c>
      <c r="G127" s="64" t="str">
        <f t="shared" si="8"/>
        <v/>
      </c>
      <c r="H127" s="64" t="str">
        <f t="shared" si="8"/>
        <v/>
      </c>
      <c r="I127" s="64" t="str">
        <f t="shared" si="8"/>
        <v/>
      </c>
      <c r="J127" s="64" t="str">
        <f t="shared" si="8"/>
        <v/>
      </c>
      <c r="K127" s="64" t="str">
        <f t="shared" si="8"/>
        <v/>
      </c>
      <c r="L127" s="64" t="str">
        <f t="shared" si="8"/>
        <v/>
      </c>
      <c r="M127" s="64" t="str">
        <f t="shared" si="8"/>
        <v/>
      </c>
      <c r="N127" s="64" t="str">
        <f t="shared" si="8"/>
        <v/>
      </c>
      <c r="O127" s="64" t="str">
        <f t="shared" si="8"/>
        <v/>
      </c>
    </row>
    <row r="128" spans="1:15" ht="15.75" customHeight="1" x14ac:dyDescent="0.35">
      <c r="A128" s="422"/>
      <c r="B128" s="172" t="s">
        <v>155</v>
      </c>
      <c r="C128" s="69" t="str">
        <f>G45</f>
        <v/>
      </c>
      <c r="D128" s="69" t="str">
        <f>K45</f>
        <v/>
      </c>
      <c r="E128" s="64" t="str">
        <f t="shared" ref="E128:O128" si="9">IFERROR(AVERAGE(E110:E114),"")</f>
        <v/>
      </c>
      <c r="F128" s="64" t="str">
        <f t="shared" si="9"/>
        <v/>
      </c>
      <c r="G128" s="64" t="str">
        <f t="shared" si="9"/>
        <v/>
      </c>
      <c r="H128" s="64" t="str">
        <f t="shared" si="9"/>
        <v/>
      </c>
      <c r="I128" s="64" t="str">
        <f t="shared" si="9"/>
        <v/>
      </c>
      <c r="J128" s="64" t="str">
        <f t="shared" si="9"/>
        <v/>
      </c>
      <c r="K128" s="64" t="str">
        <f t="shared" si="9"/>
        <v/>
      </c>
      <c r="L128" s="64" t="str">
        <f t="shared" si="9"/>
        <v/>
      </c>
      <c r="M128" s="64" t="str">
        <f t="shared" si="9"/>
        <v/>
      </c>
      <c r="N128" s="64" t="str">
        <f t="shared" si="9"/>
        <v/>
      </c>
      <c r="O128" s="64" t="str">
        <f t="shared" si="9"/>
        <v/>
      </c>
    </row>
    <row r="129" spans="1:15" ht="15.75" customHeight="1" x14ac:dyDescent="0.35">
      <c r="A129" s="446" t="s">
        <v>79</v>
      </c>
      <c r="B129" s="173" t="s">
        <v>80</v>
      </c>
      <c r="C129" s="69" t="str">
        <f>G50</f>
        <v/>
      </c>
      <c r="D129" s="69" t="str">
        <f>K50</f>
        <v/>
      </c>
      <c r="E129" s="69" t="str">
        <f t="shared" ref="E129:O129" si="10">IFERROR(AVERAGE(E115),"")</f>
        <v/>
      </c>
      <c r="F129" s="69" t="str">
        <f t="shared" si="10"/>
        <v/>
      </c>
      <c r="G129" s="69" t="str">
        <f t="shared" si="10"/>
        <v/>
      </c>
      <c r="H129" s="69" t="str">
        <f t="shared" si="10"/>
        <v/>
      </c>
      <c r="I129" s="69" t="str">
        <f t="shared" si="10"/>
        <v/>
      </c>
      <c r="J129" s="69" t="str">
        <f t="shared" si="10"/>
        <v/>
      </c>
      <c r="K129" s="69" t="str">
        <f t="shared" si="10"/>
        <v/>
      </c>
      <c r="L129" s="69" t="str">
        <f t="shared" si="10"/>
        <v/>
      </c>
      <c r="M129" s="69" t="str">
        <f t="shared" si="10"/>
        <v/>
      </c>
      <c r="N129" s="69" t="str">
        <f t="shared" si="10"/>
        <v/>
      </c>
      <c r="O129" s="69" t="str">
        <f t="shared" si="10"/>
        <v/>
      </c>
    </row>
    <row r="130" spans="1:15" ht="15.75" customHeight="1" x14ac:dyDescent="0.35">
      <c r="A130" s="447"/>
      <c r="B130" s="173" t="s">
        <v>83</v>
      </c>
      <c r="C130" s="69" t="str">
        <f>G51</f>
        <v/>
      </c>
      <c r="D130" s="69" t="str">
        <f>K51</f>
        <v/>
      </c>
      <c r="E130" s="69" t="str">
        <f t="shared" ref="E130:O130" si="11">IFERROR(AVERAGE(E116),"")</f>
        <v/>
      </c>
      <c r="F130" s="69" t="str">
        <f t="shared" si="11"/>
        <v/>
      </c>
      <c r="G130" s="69" t="str">
        <f t="shared" si="11"/>
        <v/>
      </c>
      <c r="H130" s="69" t="str">
        <f t="shared" si="11"/>
        <v/>
      </c>
      <c r="I130" s="69" t="str">
        <f t="shared" si="11"/>
        <v/>
      </c>
      <c r="J130" s="69" t="str">
        <f t="shared" si="11"/>
        <v/>
      </c>
      <c r="K130" s="69" t="str">
        <f t="shared" si="11"/>
        <v/>
      </c>
      <c r="L130" s="69" t="str">
        <f t="shared" si="11"/>
        <v/>
      </c>
      <c r="M130" s="69" t="str">
        <f t="shared" si="11"/>
        <v/>
      </c>
      <c r="N130" s="69" t="str">
        <f t="shared" si="11"/>
        <v/>
      </c>
      <c r="O130" s="69" t="str">
        <f t="shared" si="11"/>
        <v/>
      </c>
    </row>
    <row r="131" spans="1:15" ht="15.75" customHeight="1" x14ac:dyDescent="0.35">
      <c r="A131" s="447"/>
      <c r="B131" s="173" t="s">
        <v>156</v>
      </c>
      <c r="C131" s="69" t="str">
        <f>E117</f>
        <v/>
      </c>
      <c r="D131" s="69" t="str">
        <f>F117</f>
        <v/>
      </c>
      <c r="E131" s="69" t="str">
        <f t="shared" ref="E131:O131" si="12">IFERROR(AVERAGE(E117),"")</f>
        <v/>
      </c>
      <c r="F131" s="69" t="str">
        <f t="shared" si="12"/>
        <v/>
      </c>
      <c r="G131" s="69" t="str">
        <f t="shared" si="12"/>
        <v/>
      </c>
      <c r="H131" s="69" t="str">
        <f t="shared" si="12"/>
        <v/>
      </c>
      <c r="I131" s="69" t="str">
        <f t="shared" si="12"/>
        <v/>
      </c>
      <c r="J131" s="69" t="str">
        <f t="shared" si="12"/>
        <v/>
      </c>
      <c r="K131" s="69" t="str">
        <f t="shared" si="12"/>
        <v/>
      </c>
      <c r="L131" s="69" t="str">
        <f t="shared" si="12"/>
        <v/>
      </c>
      <c r="M131" s="69" t="str">
        <f t="shared" si="12"/>
        <v/>
      </c>
      <c r="N131" s="69" t="str">
        <f t="shared" si="12"/>
        <v/>
      </c>
      <c r="O131" s="69" t="str">
        <f t="shared" si="12"/>
        <v/>
      </c>
    </row>
    <row r="132" spans="1:15" ht="15.75" customHeight="1" x14ac:dyDescent="0.35">
      <c r="A132" s="415" t="s">
        <v>87</v>
      </c>
      <c r="B132" s="293" t="s">
        <v>417</v>
      </c>
      <c r="C132" s="69" t="str">
        <f>G53</f>
        <v/>
      </c>
      <c r="D132" s="174" t="str">
        <f>K53</f>
        <v/>
      </c>
      <c r="E132" s="69" t="str">
        <f>IFERROR(AVERAGE(E118),"")</f>
        <v/>
      </c>
      <c r="F132" s="69" t="str">
        <f t="shared" ref="F132:O132" si="13">IFERROR(AVERAGE(F118),"")</f>
        <v/>
      </c>
      <c r="G132" s="69" t="str">
        <f t="shared" si="13"/>
        <v/>
      </c>
      <c r="H132" s="69" t="str">
        <f t="shared" si="13"/>
        <v/>
      </c>
      <c r="I132" s="69" t="str">
        <f t="shared" si="13"/>
        <v/>
      </c>
      <c r="J132" s="69" t="str">
        <f t="shared" si="13"/>
        <v/>
      </c>
      <c r="K132" s="69" t="str">
        <f t="shared" si="13"/>
        <v/>
      </c>
      <c r="L132" s="69" t="str">
        <f t="shared" si="13"/>
        <v/>
      </c>
      <c r="M132" s="69" t="str">
        <f t="shared" si="13"/>
        <v/>
      </c>
      <c r="N132" s="69" t="str">
        <f t="shared" si="13"/>
        <v/>
      </c>
      <c r="O132" s="69" t="str">
        <f t="shared" si="13"/>
        <v/>
      </c>
    </row>
    <row r="133" spans="1:15" ht="15.5" x14ac:dyDescent="0.35">
      <c r="A133" s="416"/>
      <c r="B133" s="144" t="s">
        <v>88</v>
      </c>
      <c r="C133" s="69" t="str">
        <f>G54</f>
        <v/>
      </c>
      <c r="D133" s="174" t="str">
        <f>K54</f>
        <v/>
      </c>
      <c r="E133" s="69" t="str">
        <f t="shared" ref="E133:O133" si="14">IFERROR(AVERAGE(E119),"")</f>
        <v/>
      </c>
      <c r="F133" s="69" t="str">
        <f t="shared" si="14"/>
        <v/>
      </c>
      <c r="G133" s="69" t="str">
        <f t="shared" si="14"/>
        <v/>
      </c>
      <c r="H133" s="69" t="str">
        <f t="shared" si="14"/>
        <v/>
      </c>
      <c r="I133" s="69" t="str">
        <f t="shared" si="14"/>
        <v/>
      </c>
      <c r="J133" s="69" t="str">
        <f t="shared" si="14"/>
        <v/>
      </c>
      <c r="K133" s="69" t="str">
        <f t="shared" si="14"/>
        <v/>
      </c>
      <c r="L133" s="69" t="str">
        <f t="shared" si="14"/>
        <v/>
      </c>
      <c r="M133" s="69" t="str">
        <f t="shared" si="14"/>
        <v/>
      </c>
      <c r="N133" s="69" t="str">
        <f t="shared" si="14"/>
        <v/>
      </c>
      <c r="O133" s="69" t="str">
        <f t="shared" si="14"/>
        <v/>
      </c>
    </row>
    <row r="134" spans="1:15" ht="15.5" x14ac:dyDescent="0.35">
      <c r="A134" s="175"/>
      <c r="B134" s="60"/>
      <c r="C134" s="161"/>
      <c r="D134" s="161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</row>
    <row r="135" spans="1:15" s="8" customFormat="1" ht="15.5" x14ac:dyDescent="0.35">
      <c r="A135" s="448" t="s">
        <v>157</v>
      </c>
      <c r="B135" s="448"/>
      <c r="C135" s="176" t="s">
        <v>22</v>
      </c>
      <c r="D135" s="176" t="s">
        <v>23</v>
      </c>
      <c r="E135" s="176">
        <f t="shared" ref="E135:O135" si="15">E57</f>
        <v>0</v>
      </c>
      <c r="F135" s="176">
        <f t="shared" si="15"/>
        <v>0</v>
      </c>
      <c r="G135" s="176">
        <f t="shared" si="15"/>
        <v>0</v>
      </c>
      <c r="H135" s="176">
        <f t="shared" si="15"/>
        <v>0</v>
      </c>
      <c r="I135" s="176">
        <f t="shared" si="15"/>
        <v>0</v>
      </c>
      <c r="J135" s="176">
        <f t="shared" si="15"/>
        <v>0</v>
      </c>
      <c r="K135" s="176">
        <f t="shared" si="15"/>
        <v>0</v>
      </c>
      <c r="L135" s="176">
        <f t="shared" si="15"/>
        <v>0</v>
      </c>
      <c r="M135" s="176">
        <f t="shared" si="15"/>
        <v>0</v>
      </c>
      <c r="N135" s="176">
        <f t="shared" si="15"/>
        <v>0</v>
      </c>
      <c r="O135" s="176">
        <f t="shared" si="15"/>
        <v>0</v>
      </c>
    </row>
    <row r="136" spans="1:15" s="8" customFormat="1" ht="15.5" x14ac:dyDescent="0.35">
      <c r="A136" s="449" t="s">
        <v>44</v>
      </c>
      <c r="B136" s="449"/>
      <c r="C136" s="64" t="str">
        <f>H26</f>
        <v/>
      </c>
      <c r="D136" s="64" t="str">
        <f>L26</f>
        <v/>
      </c>
      <c r="E136" s="64" t="str">
        <f t="shared" ref="E136:O136" si="16">IFERROR(ROUND(AVERAGE(E122),2),"")</f>
        <v/>
      </c>
      <c r="F136" s="64" t="str">
        <f t="shared" si="16"/>
        <v/>
      </c>
      <c r="G136" s="64" t="str">
        <f t="shared" si="16"/>
        <v/>
      </c>
      <c r="H136" s="64" t="str">
        <f t="shared" si="16"/>
        <v/>
      </c>
      <c r="I136" s="64" t="str">
        <f t="shared" si="16"/>
        <v/>
      </c>
      <c r="J136" s="64" t="str">
        <f t="shared" si="16"/>
        <v/>
      </c>
      <c r="K136" s="64" t="str">
        <f t="shared" si="16"/>
        <v/>
      </c>
      <c r="L136" s="64" t="str">
        <f t="shared" si="16"/>
        <v/>
      </c>
      <c r="M136" s="64" t="str">
        <f t="shared" si="16"/>
        <v/>
      </c>
      <c r="N136" s="64" t="str">
        <f t="shared" si="16"/>
        <v/>
      </c>
      <c r="O136" s="64" t="str">
        <f t="shared" si="16"/>
        <v/>
      </c>
    </row>
    <row r="137" spans="1:15" s="8" customFormat="1" ht="15.5" x14ac:dyDescent="0.35">
      <c r="A137" s="458" t="s">
        <v>49</v>
      </c>
      <c r="B137" s="458"/>
      <c r="C137" s="64" t="str">
        <f>H28</f>
        <v/>
      </c>
      <c r="D137" s="64" t="str">
        <f>L28</f>
        <v/>
      </c>
      <c r="E137" s="64" t="str">
        <f t="shared" ref="E137:O137" si="17">IFERROR(ROUND(AVERAGE(E123:E123),2),"")</f>
        <v/>
      </c>
      <c r="F137" s="64" t="str">
        <f t="shared" si="17"/>
        <v/>
      </c>
      <c r="G137" s="64" t="str">
        <f t="shared" si="17"/>
        <v/>
      </c>
      <c r="H137" s="64" t="str">
        <f t="shared" si="17"/>
        <v/>
      </c>
      <c r="I137" s="64" t="str">
        <f t="shared" si="17"/>
        <v/>
      </c>
      <c r="J137" s="64" t="str">
        <f t="shared" si="17"/>
        <v/>
      </c>
      <c r="K137" s="64" t="str">
        <f t="shared" si="17"/>
        <v/>
      </c>
      <c r="L137" s="64" t="str">
        <f t="shared" si="17"/>
        <v/>
      </c>
      <c r="M137" s="64" t="str">
        <f t="shared" si="17"/>
        <v/>
      </c>
      <c r="N137" s="64" t="str">
        <f t="shared" si="17"/>
        <v/>
      </c>
      <c r="O137" s="64" t="str">
        <f t="shared" si="17"/>
        <v/>
      </c>
    </row>
    <row r="138" spans="1:15" s="8" customFormat="1" ht="15.5" x14ac:dyDescent="0.35">
      <c r="A138" s="459" t="s">
        <v>54</v>
      </c>
      <c r="B138" s="459"/>
      <c r="C138" s="64" t="str">
        <f>H30</f>
        <v/>
      </c>
      <c r="D138" s="64" t="str">
        <f>L30</f>
        <v/>
      </c>
      <c r="E138" s="64" t="str">
        <f t="shared" ref="E138:O138" si="18">IFERROR(ROUND(AVERAGE(E124:E127),2),"")</f>
        <v/>
      </c>
      <c r="F138" s="64" t="str">
        <f t="shared" si="18"/>
        <v/>
      </c>
      <c r="G138" s="64" t="str">
        <f t="shared" si="18"/>
        <v/>
      </c>
      <c r="H138" s="64" t="str">
        <f t="shared" si="18"/>
        <v/>
      </c>
      <c r="I138" s="64" t="str">
        <f t="shared" si="18"/>
        <v/>
      </c>
      <c r="J138" s="64" t="str">
        <f t="shared" si="18"/>
        <v/>
      </c>
      <c r="K138" s="64" t="str">
        <f t="shared" si="18"/>
        <v/>
      </c>
      <c r="L138" s="64" t="str">
        <f t="shared" si="18"/>
        <v/>
      </c>
      <c r="M138" s="64" t="str">
        <f t="shared" si="18"/>
        <v/>
      </c>
      <c r="N138" s="64" t="str">
        <f t="shared" si="18"/>
        <v/>
      </c>
      <c r="O138" s="64" t="str">
        <f t="shared" si="18"/>
        <v/>
      </c>
    </row>
    <row r="139" spans="1:15" s="8" customFormat="1" ht="15.5" x14ac:dyDescent="0.35">
      <c r="A139" s="460" t="s">
        <v>79</v>
      </c>
      <c r="B139" s="460"/>
      <c r="C139" s="64" t="str">
        <f>H50</f>
        <v/>
      </c>
      <c r="D139" s="64" t="str">
        <f>L50</f>
        <v/>
      </c>
      <c r="E139" s="64" t="str">
        <f t="shared" ref="E139:O139" si="19">IFERROR(ROUND(AVERAGE(E129:E131),2),"")</f>
        <v/>
      </c>
      <c r="F139" s="64" t="str">
        <f t="shared" si="19"/>
        <v/>
      </c>
      <c r="G139" s="64" t="str">
        <f t="shared" si="19"/>
        <v/>
      </c>
      <c r="H139" s="64" t="str">
        <f t="shared" si="19"/>
        <v/>
      </c>
      <c r="I139" s="64" t="str">
        <f t="shared" si="19"/>
        <v/>
      </c>
      <c r="J139" s="64" t="str">
        <f t="shared" si="19"/>
        <v/>
      </c>
      <c r="K139" s="64" t="str">
        <f t="shared" si="19"/>
        <v/>
      </c>
      <c r="L139" s="64" t="str">
        <f t="shared" si="19"/>
        <v/>
      </c>
      <c r="M139" s="64" t="str">
        <f t="shared" si="19"/>
        <v/>
      </c>
      <c r="N139" s="64" t="str">
        <f t="shared" si="19"/>
        <v/>
      </c>
      <c r="O139" s="64" t="str">
        <f t="shared" si="19"/>
        <v/>
      </c>
    </row>
    <row r="140" spans="1:15" s="8" customFormat="1" ht="15.5" x14ac:dyDescent="0.35">
      <c r="A140" s="456" t="s">
        <v>87</v>
      </c>
      <c r="B140" s="456"/>
      <c r="C140" s="64" t="str">
        <f>H53</f>
        <v/>
      </c>
      <c r="D140" s="64" t="str">
        <f>L53</f>
        <v/>
      </c>
      <c r="E140" s="64" t="str">
        <f>IFERROR(ROUND(AVERAGE(E132:E133),2),"")</f>
        <v/>
      </c>
      <c r="F140" s="64" t="str">
        <f t="shared" ref="F140:O140" si="20">IFERROR(ROUND(AVERAGE(F132:F133),2),"")</f>
        <v/>
      </c>
      <c r="G140" s="64" t="str">
        <f t="shared" si="20"/>
        <v/>
      </c>
      <c r="H140" s="64" t="str">
        <f t="shared" si="20"/>
        <v/>
      </c>
      <c r="I140" s="64" t="str">
        <f t="shared" si="20"/>
        <v/>
      </c>
      <c r="J140" s="64" t="str">
        <f t="shared" si="20"/>
        <v/>
      </c>
      <c r="K140" s="64" t="str">
        <f t="shared" si="20"/>
        <v/>
      </c>
      <c r="L140" s="64" t="str">
        <f t="shared" si="20"/>
        <v/>
      </c>
      <c r="M140" s="64" t="str">
        <f t="shared" si="20"/>
        <v/>
      </c>
      <c r="N140" s="64" t="str">
        <f t="shared" si="20"/>
        <v/>
      </c>
      <c r="O140" s="64" t="str">
        <f t="shared" si="20"/>
        <v/>
      </c>
    </row>
    <row r="141" spans="1:15" ht="15.5" x14ac:dyDescent="0.35">
      <c r="A141" s="457" t="s">
        <v>158</v>
      </c>
      <c r="B141" s="457"/>
      <c r="C141" s="67" t="str">
        <f>IF(SUM(C136:C140)=0,"",ROUND((SUM(IF(C136="",0,C136*0.2),IF(C137="",0,C137*0.2),IF(C138="",0,C138*0.2),IF(C139="",0,C139*0.2),IF(C140="",0,C140*0.2))),2))</f>
        <v/>
      </c>
      <c r="D141" s="69" t="str">
        <f t="shared" ref="D141:O141" si="21">IF(SUM(D136:D140)=0,"",ROUND((SUM(IF(D136="",0,D136*0.2),IF(D137="",0,D137*0.2),IF(D138="",0,D138*0.2),IF(D139="",0,D139*0.2),IF(D140="",0,D140*0.2))),2))</f>
        <v/>
      </c>
      <c r="E141" s="69" t="str">
        <f t="shared" si="21"/>
        <v/>
      </c>
      <c r="F141" s="69" t="str">
        <f t="shared" si="21"/>
        <v/>
      </c>
      <c r="G141" s="69" t="str">
        <f t="shared" si="21"/>
        <v/>
      </c>
      <c r="H141" s="69" t="str">
        <f t="shared" si="21"/>
        <v/>
      </c>
      <c r="I141" s="69" t="str">
        <f t="shared" si="21"/>
        <v/>
      </c>
      <c r="J141" s="69" t="str">
        <f t="shared" si="21"/>
        <v/>
      </c>
      <c r="K141" s="69" t="str">
        <f t="shared" si="21"/>
        <v/>
      </c>
      <c r="L141" s="69" t="str">
        <f t="shared" si="21"/>
        <v/>
      </c>
      <c r="M141" s="69" t="str">
        <f t="shared" si="21"/>
        <v/>
      </c>
      <c r="N141" s="69" t="str">
        <f t="shared" si="21"/>
        <v/>
      </c>
      <c r="O141" s="69" t="str">
        <f t="shared" si="21"/>
        <v/>
      </c>
    </row>
    <row r="142" spans="1:15" ht="15.5" x14ac:dyDescent="0.35">
      <c r="E142" s="161"/>
      <c r="G142" s="4"/>
      <c r="H142" s="4"/>
    </row>
    <row r="143" spans="1:15" ht="15" customHeight="1" x14ac:dyDescent="0.35"/>
    <row r="144" spans="1:15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6" ht="15" customHeight="1" x14ac:dyDescent="0.35"/>
    <row r="167" ht="15" customHeight="1" x14ac:dyDescent="0.35"/>
    <row r="170" ht="15" customHeight="1" x14ac:dyDescent="0.35"/>
    <row r="171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</sheetData>
  <sheetProtection algorithmName="SHA-512" hashValue="9JR1YuudkJHGvYO2vbpzLemdX2SRJr1/0vXpqBYOy0OPN8TSRCsXbc5Wfl2SvI7Ja029svfygpvfZWhJjTA8AA==" saltValue="HmJEOHNQZjmEFYz0/9fDZw==" spinCount="100000" sheet="1" objects="1" scenarios="1"/>
  <mergeCells count="150">
    <mergeCell ref="C118:D118"/>
    <mergeCell ref="A118:A119"/>
    <mergeCell ref="A132:A133"/>
    <mergeCell ref="A140:B140"/>
    <mergeCell ref="A141:B141"/>
    <mergeCell ref="A137:B137"/>
    <mergeCell ref="A138:B138"/>
    <mergeCell ref="A139:B139"/>
    <mergeCell ref="E21:G21"/>
    <mergeCell ref="E22:G22"/>
    <mergeCell ref="C90:D90"/>
    <mergeCell ref="E90:O90"/>
    <mergeCell ref="A91:A92"/>
    <mergeCell ref="B91:B92"/>
    <mergeCell ref="F88:F89"/>
    <mergeCell ref="G88:G89"/>
    <mergeCell ref="H88:H89"/>
    <mergeCell ref="I88:I89"/>
    <mergeCell ref="J88:J89"/>
    <mergeCell ref="A87:A89"/>
    <mergeCell ref="C87:D87"/>
    <mergeCell ref="B110:B114"/>
    <mergeCell ref="A115:A117"/>
    <mergeCell ref="A124:A128"/>
    <mergeCell ref="A129:A131"/>
    <mergeCell ref="A135:B135"/>
    <mergeCell ref="A136:B136"/>
    <mergeCell ref="A93:A94"/>
    <mergeCell ref="B93:B94"/>
    <mergeCell ref="A95:A109"/>
    <mergeCell ref="B96:B98"/>
    <mergeCell ref="B99:B106"/>
    <mergeCell ref="B107:B109"/>
    <mergeCell ref="K88:K89"/>
    <mergeCell ref="L88:L89"/>
    <mergeCell ref="M88:M89"/>
    <mergeCell ref="N88:N89"/>
    <mergeCell ref="O88:O89"/>
    <mergeCell ref="A60:A61"/>
    <mergeCell ref="B60:B61"/>
    <mergeCell ref="A62:A63"/>
    <mergeCell ref="B62:B63"/>
    <mergeCell ref="A64:A78"/>
    <mergeCell ref="B65:B67"/>
    <mergeCell ref="B68:B75"/>
    <mergeCell ref="B76:B78"/>
    <mergeCell ref="E88:E89"/>
    <mergeCell ref="C88:D89"/>
    <mergeCell ref="B88:B89"/>
    <mergeCell ref="B79:B83"/>
    <mergeCell ref="A84:A86"/>
    <mergeCell ref="K54:K55"/>
    <mergeCell ref="H53:H55"/>
    <mergeCell ref="A53:A55"/>
    <mergeCell ref="A50:A52"/>
    <mergeCell ref="H50:H52"/>
    <mergeCell ref="A30:A49"/>
    <mergeCell ref="H30:H49"/>
    <mergeCell ref="A57:B57"/>
    <mergeCell ref="A58:A59"/>
    <mergeCell ref="B58:B59"/>
    <mergeCell ref="C59:D59"/>
    <mergeCell ref="E59:O59"/>
    <mergeCell ref="L50:L52"/>
    <mergeCell ref="B54:B55"/>
    <mergeCell ref="C54:D55"/>
    <mergeCell ref="E54:E55"/>
    <mergeCell ref="F54:F55"/>
    <mergeCell ref="G54:G55"/>
    <mergeCell ref="I54:I55"/>
    <mergeCell ref="J54:J55"/>
    <mergeCell ref="B31:B33"/>
    <mergeCell ref="G31:G33"/>
    <mergeCell ref="K31:K33"/>
    <mergeCell ref="L53:L55"/>
    <mergeCell ref="L28:L29"/>
    <mergeCell ref="G42:G44"/>
    <mergeCell ref="K42:K44"/>
    <mergeCell ref="B45:B49"/>
    <mergeCell ref="G45:G49"/>
    <mergeCell ref="K45:K49"/>
    <mergeCell ref="A26:A27"/>
    <mergeCell ref="B26:B27"/>
    <mergeCell ref="G26:G27"/>
    <mergeCell ref="H26:H27"/>
    <mergeCell ref="K26:K27"/>
    <mergeCell ref="L26:L27"/>
    <mergeCell ref="B34:B41"/>
    <mergeCell ref="G34:G41"/>
    <mergeCell ref="K34:K41"/>
    <mergeCell ref="B42:B44"/>
    <mergeCell ref="A28:A29"/>
    <mergeCell ref="B28:B29"/>
    <mergeCell ref="G28:G29"/>
    <mergeCell ref="H28:H29"/>
    <mergeCell ref="K28:K29"/>
    <mergeCell ref="L30:L49"/>
    <mergeCell ref="A21:B21"/>
    <mergeCell ref="A24:A25"/>
    <mergeCell ref="B24:B25"/>
    <mergeCell ref="C24:D25"/>
    <mergeCell ref="E24:H24"/>
    <mergeCell ref="I24:L24"/>
    <mergeCell ref="A13:B13"/>
    <mergeCell ref="J13:O13"/>
    <mergeCell ref="A14:B14"/>
    <mergeCell ref="J14:O20"/>
    <mergeCell ref="A15:B15"/>
    <mergeCell ref="A16:B16"/>
    <mergeCell ref="A17:B17"/>
    <mergeCell ref="A18:B18"/>
    <mergeCell ref="A19:B19"/>
    <mergeCell ref="A20:B20"/>
    <mergeCell ref="E13:G13"/>
    <mergeCell ref="E14:G14"/>
    <mergeCell ref="E15:G15"/>
    <mergeCell ref="E16:G16"/>
    <mergeCell ref="E17:G17"/>
    <mergeCell ref="E18:G18"/>
    <mergeCell ref="E19:G19"/>
    <mergeCell ref="E20:G20"/>
    <mergeCell ref="A12:B12"/>
    <mergeCell ref="A4:B4"/>
    <mergeCell ref="E4:I4"/>
    <mergeCell ref="K4:L4"/>
    <mergeCell ref="A5:B5"/>
    <mergeCell ref="E5:I5"/>
    <mergeCell ref="A6:B6"/>
    <mergeCell ref="E6:I6"/>
    <mergeCell ref="J6:O7"/>
    <mergeCell ref="A7:B7"/>
    <mergeCell ref="E7:H7"/>
    <mergeCell ref="E8:G8"/>
    <mergeCell ref="E9:G9"/>
    <mergeCell ref="E10:G10"/>
    <mergeCell ref="E11:G11"/>
    <mergeCell ref="E12:G12"/>
    <mergeCell ref="A1:C2"/>
    <mergeCell ref="E1:I1"/>
    <mergeCell ref="K1:L1"/>
    <mergeCell ref="E2:I2"/>
    <mergeCell ref="K2:L2"/>
    <mergeCell ref="A3:B3"/>
    <mergeCell ref="E3:I3"/>
    <mergeCell ref="K3:L3"/>
    <mergeCell ref="A8:B8"/>
    <mergeCell ref="J8:O11"/>
    <mergeCell ref="A9:B9"/>
    <mergeCell ref="A10:B10"/>
    <mergeCell ref="A11:B11"/>
  </mergeCells>
  <conditionalFormatting sqref="E91:O119 C122:O133 C136:O141">
    <cfRule type="cellIs" dxfId="2" priority="10" operator="lessThan">
      <formula>0.3</formula>
    </cfRule>
    <cfRule type="cellIs" dxfId="1" priority="11" operator="lessThan">
      <formula>0.7</formula>
    </cfRule>
    <cfRule type="cellIs" dxfId="0" priority="12" operator="lessThanOrEqual">
      <formula>1</formula>
    </cfRule>
  </conditionalFormatting>
  <dataValidations count="11">
    <dataValidation type="decimal" allowBlank="1" showInputMessage="1" showErrorMessage="1" prompt="Measure if proposed canopy cover is anticipated to be less than 20% at project closeout." sqref="E40:E41 I40:I41 E74:E75" xr:uid="{BB8279BF-97F6-44D6-8943-E9230778DA62}">
      <formula1>0</formula1>
      <formula2>5280</formula2>
    </dataValidation>
    <dataValidation allowBlank="1" showInputMessage="1" showErrorMessage="1" prompt="This metric should be used in combination with either Erosion Rate or Dominant BEHI/NBS." sqref="E33 I33 E67" xr:uid="{365E35EC-130E-4B7C-94A1-0046D1CA194C}"/>
    <dataValidation type="custom" allowBlank="1" showInputMessage="1" showErrorMessage="1" sqref="G86:O87" xr:uid="{6A0A9F65-821B-4A9C-9221-78E66A7A37FC}">
      <formula1>#REF!=""</formula1>
    </dataValidation>
    <dataValidation allowBlank="1" showInputMessage="1" showErrorMessage="1" prompt="The user can only input a value for either LWD Index OR # Pieces, not both." sqref="E30 I30 E64" xr:uid="{2424F880-FA57-42C6-9449-F49E488E41F5}"/>
    <dataValidation allowBlank="1" showErrorMessage="1" sqref="C13 C8:C9" xr:uid="{B67ABF50-4FAB-425D-A94E-F3DDBF9753F7}"/>
    <dataValidation type="decimal" allowBlank="1" showInputMessage="1" showErrorMessage="1" sqref="G68:O75 E34:E39 I34:I39 E68:E73" xr:uid="{A67D0ED7-E212-4C6E-8E74-B399B37528AC}">
      <formula1>0</formula1>
      <formula2>5280</formula2>
    </dataValidation>
    <dataValidation allowBlank="1" showErrorMessage="1" prompt="Select catchment conditon level from the completed catchment assessment form. " sqref="I26:I27 E26:E27 G60:O61 F60:F87 E60:E61" xr:uid="{404CA4F4-F90B-4C75-B4FD-2EB77AE7A835}"/>
    <dataValidation allowBlank="1" showErrorMessage="1" prompt="Leave field value blank if not a coldwater stream." sqref="E50 I50 E84" xr:uid="{1BCCBAFA-82B2-4802-8666-03A5D4A11B3B}"/>
    <dataValidation allowBlank="1" showInputMessage="1" showErrorMessage="1" prompt="The user can only input a value for either leaf litter processing rate or shredders for organic matter, not both. " sqref="E52:E53 I52:I53 E86:E87" xr:uid="{E8E33ACB-6362-4736-93B5-3183B5F2155D}"/>
    <dataValidation type="list" allowBlank="1" showInputMessage="1" showErrorMessage="1" sqref="C8:C9" xr:uid="{507D7237-BD5F-42E0-A629-DC8F798C9D7A}">
      <formula1>RiverBasins</formula1>
    </dataValidation>
    <dataValidation type="list" allowBlank="1" showErrorMessage="1" sqref="C11" xr:uid="{4C30AEF3-B5AF-4161-A0B2-D6650320AC69}">
      <formula1>StreamType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D02B0DBA-65D6-44B7-B363-BD42B3D2A039}">
          <x14:formula1>
            <xm:f>'Pull Down Notes'!$B$35:$B$64</xm:f>
          </x14:formula1>
          <xm:sqref>G65:O65 E31 I31 E65</xm:sqref>
        </x14:dataValidation>
        <x14:dataValidation type="list" allowBlank="1" showInputMessage="1" showErrorMessage="1" xr:uid="{441C4510-19D3-473B-8D8C-F9BCE716BA82}">
          <x14:formula1>
            <xm:f>'Pull Down Notes'!$B$143:$B$147</xm:f>
          </x14:formula1>
          <xm:sqref>I54:I55 E54:E55 E88:O89</xm:sqref>
        </x14:dataValidation>
        <x14:dataValidation type="list" allowBlank="1" showErrorMessage="1" prompt="If coldwater stream enter stream temperature in field value. If not a coldwater stream leave blank." xr:uid="{465CB53D-7FCB-4132-9CC7-E723B0C2AB0C}">
          <x14:formula1>
            <xm:f>'Pull Down Notes'!$B$109:$B$111</xm:f>
          </x14:formula1>
          <xm:sqref>C19</xm:sqref>
        </x14:dataValidation>
        <x14:dataValidation type="list" allowBlank="1" showErrorMessage="1" xr:uid="{8DE738CB-EADF-4BA8-9F43-30FFAC6ECB14}">
          <x14:formula1>
            <xm:f>'Pull Down Notes'!$B$2:$B$15</xm:f>
          </x14:formula1>
          <xm:sqref>C10:C11</xm:sqref>
        </x14:dataValidation>
        <x14:dataValidation type="list" allowBlank="1" showErrorMessage="1" xr:uid="{69328667-587F-4CF9-8144-039367EBBC96}">
          <x14:formula1>
            <xm:f>'Pull Down Notes'!$B$30:$B$32</xm:f>
          </x14:formula1>
          <xm:sqref>C15</xm:sqref>
        </x14:dataValidation>
        <x14:dataValidation type="list" allowBlank="1" showErrorMessage="1" xr:uid="{4F886A7E-B5C1-4598-8FBD-116A0038AB50}">
          <x14:formula1>
            <xm:f>'Pull Down Notes'!$B$67:$B$68</xm:f>
          </x14:formula1>
          <xm:sqref>C5</xm:sqref>
        </x14:dataValidation>
        <x14:dataValidation type="list" allowBlank="1" showInputMessage="1" showErrorMessage="1" xr:uid="{95BED709-2BC9-4BDB-B37B-31A24E78FC7F}">
          <x14:formula1>
            <xm:f>'Pull Down Notes'!$B$2:$B$15</xm:f>
          </x14:formula1>
          <xm:sqref>C10:C11</xm:sqref>
        </x14:dataValidation>
        <x14:dataValidation type="list" allowBlank="1" showInputMessage="1" showErrorMessage="1" xr:uid="{ECFC85C4-FEB3-4F08-9797-1723A4A9FFA2}">
          <x14:formula1>
            <xm:f>'Pull Down Notes'!$B$124:$B$126</xm:f>
          </x14:formula1>
          <xm:sqref>C12</xm:sqref>
        </x14:dataValidation>
        <x14:dataValidation type="list" allowBlank="1" showInputMessage="1" showErrorMessage="1" xr:uid="{EBF2D182-3CDA-4A5D-B529-D9ED60FFB4D7}">
          <x14:formula1>
            <xm:f>'Pull Down Notes'!$B$129:$B$132</xm:f>
          </x14:formula1>
          <xm:sqref>C14</xm:sqref>
        </x14:dataValidation>
        <x14:dataValidation type="list" allowBlank="1" showInputMessage="1" showErrorMessage="1" xr:uid="{D2EA050D-2DEE-442D-9DF2-D027E7ED2605}">
          <x14:formula1>
            <xm:f>'Pull Down Notes'!$B$22:$B$27</xm:f>
          </x14:formula1>
          <xm:sqref>C16</xm:sqref>
        </x14:dataValidation>
        <x14:dataValidation type="list" allowBlank="1" showInputMessage="1" showErrorMessage="1" xr:uid="{77D6E8EA-496F-4439-B9B1-F2886D6F55DB}">
          <x14:formula1>
            <xm:f>'Pull Down Notes'!$B$139:$B$140</xm:f>
          </x14:formula1>
          <xm:sqref>C18</xm:sqref>
        </x14:dataValidation>
        <x14:dataValidation type="list" allowBlank="1" showInputMessage="1" showErrorMessage="1" xr:uid="{36C9F822-D956-4320-B363-0EEF4F29E491}">
          <x14:formula1>
            <xm:f>'Pull Down Notes'!$B$119:$B$121</xm:f>
          </x14:formula1>
          <xm:sqref>C20</xm:sqref>
        </x14:dataValidation>
        <x14:dataValidation type="list" allowBlank="1" showInputMessage="1" showErrorMessage="1" xr:uid="{FD70FEBE-C4F2-495A-B546-438146037ABD}">
          <x14:formula1>
            <xm:f>'Pull Down Notes'!$B$135:$B$136</xm:f>
          </x14:formula1>
          <xm:sqref>C21</xm:sqref>
        </x14:dataValidation>
        <x14:dataValidation type="list" allowBlank="1" showErrorMessage="1" xr:uid="{CE827C95-AB70-4073-A9BE-A85238E44D8B}">
          <x14:formula1>
            <xm:f>'Pull Down Notes'!$B$97:$B$106</xm:f>
          </x14:formula1>
          <xm:sqref>C7</xm:sqref>
        </x14:dataValidation>
        <x14:dataValidation type="list" allowBlank="1" showErrorMessage="1" xr:uid="{6BDF2082-7C9D-4C8B-92E0-FA658071D039}">
          <x14:formula1>
            <xm:f>'Pull Down Notes'!$B$71:$B$76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3023-1544-48EB-81FA-A874C11D0C79}">
  <dimension ref="A1:O83"/>
  <sheetViews>
    <sheetView topLeftCell="A19" zoomScale="80" zoomScaleNormal="80" workbookViewId="0">
      <selection activeCell="G42" sqref="G42:G44"/>
    </sheetView>
  </sheetViews>
  <sheetFormatPr defaultRowHeight="14.5" x14ac:dyDescent="0.35"/>
  <cols>
    <col min="1" max="1" width="18.08984375" customWidth="1"/>
    <col min="2" max="2" width="24.453125" customWidth="1"/>
    <col min="3" max="3" width="19.81640625" customWidth="1"/>
    <col min="4" max="4" width="24.81640625" customWidth="1"/>
    <col min="5" max="15" width="14" customWidth="1"/>
  </cols>
  <sheetData>
    <row r="1" spans="1:15" ht="21" customHeight="1" x14ac:dyDescent="0.55000000000000004">
      <c r="A1" s="354" t="s">
        <v>90</v>
      </c>
      <c r="B1" s="486"/>
      <c r="C1" s="356"/>
      <c r="E1" s="377" t="s">
        <v>1</v>
      </c>
      <c r="F1" s="378"/>
      <c r="G1" s="378"/>
      <c r="H1" s="378"/>
      <c r="I1" s="379"/>
      <c r="K1" s="358" t="s">
        <v>91</v>
      </c>
      <c r="L1" s="358"/>
    </row>
    <row r="2" spans="1:15" ht="19.5" customHeight="1" x14ac:dyDescent="0.35">
      <c r="A2" s="487"/>
      <c r="B2" s="488"/>
      <c r="C2" s="489"/>
      <c r="E2" s="483" t="s">
        <v>92</v>
      </c>
      <c r="F2" s="484"/>
      <c r="G2" s="484"/>
      <c r="H2" s="484"/>
      <c r="I2" s="485"/>
      <c r="K2" s="481" t="s">
        <v>93</v>
      </c>
      <c r="L2" s="482"/>
    </row>
    <row r="3" spans="1:15" ht="18" customHeight="1" x14ac:dyDescent="0.35">
      <c r="A3" s="493" t="s">
        <v>11</v>
      </c>
      <c r="B3" s="494"/>
      <c r="C3" s="61"/>
      <c r="E3" s="490" t="s">
        <v>5</v>
      </c>
      <c r="F3" s="491"/>
      <c r="G3" s="491"/>
      <c r="H3" s="491"/>
      <c r="I3" s="492"/>
      <c r="K3" s="364" t="s">
        <v>94</v>
      </c>
      <c r="L3" s="365"/>
    </row>
    <row r="4" spans="1:15" ht="21.65" customHeight="1" x14ac:dyDescent="0.35">
      <c r="A4" s="493" t="s">
        <v>95</v>
      </c>
      <c r="B4" s="494"/>
      <c r="C4" s="62"/>
      <c r="E4" s="499" t="s">
        <v>6</v>
      </c>
      <c r="F4" s="500"/>
      <c r="G4" s="500"/>
      <c r="H4" s="500"/>
      <c r="I4" s="501"/>
      <c r="K4" s="497" t="s">
        <v>96</v>
      </c>
      <c r="L4" s="498"/>
    </row>
    <row r="5" spans="1:15" ht="15.75" customHeight="1" x14ac:dyDescent="0.35">
      <c r="A5" s="493" t="s">
        <v>97</v>
      </c>
      <c r="B5" s="494"/>
      <c r="C5" s="63"/>
      <c r="E5" s="461" t="s">
        <v>429</v>
      </c>
      <c r="F5" s="462"/>
      <c r="G5" s="462"/>
      <c r="H5" s="462"/>
      <c r="I5" s="463"/>
    </row>
    <row r="6" spans="1:15" ht="15.5" customHeight="1" x14ac:dyDescent="0.35">
      <c r="A6" s="493" t="s">
        <v>98</v>
      </c>
      <c r="B6" s="494"/>
      <c r="C6" s="61"/>
      <c r="E6" s="464"/>
      <c r="F6" s="465"/>
      <c r="G6" s="465"/>
      <c r="H6" s="465"/>
      <c r="I6" s="466"/>
      <c r="J6" s="496" t="s">
        <v>99</v>
      </c>
      <c r="K6" s="372"/>
      <c r="L6" s="372"/>
      <c r="M6" s="372"/>
      <c r="N6" s="372"/>
      <c r="O6" s="373"/>
    </row>
    <row r="7" spans="1:15" ht="21" x14ac:dyDescent="0.5">
      <c r="A7" s="493" t="s">
        <v>15</v>
      </c>
      <c r="B7" s="494"/>
      <c r="C7" s="61"/>
      <c r="E7" s="377" t="s">
        <v>100</v>
      </c>
      <c r="F7" s="378"/>
      <c r="G7" s="378"/>
      <c r="H7" s="379"/>
      <c r="I7" s="5"/>
      <c r="J7" s="374"/>
      <c r="K7" s="375"/>
      <c r="L7" s="375"/>
      <c r="M7" s="375"/>
      <c r="N7" s="375"/>
      <c r="O7" s="376"/>
    </row>
    <row r="8" spans="1:15" ht="15.5" x14ac:dyDescent="0.35">
      <c r="A8" s="493" t="s">
        <v>159</v>
      </c>
      <c r="B8" s="494"/>
      <c r="C8" s="62"/>
      <c r="E8" s="499" t="s">
        <v>160</v>
      </c>
      <c r="F8" s="500"/>
      <c r="G8" s="501"/>
      <c r="H8" s="64" t="str">
        <f>IFERROR(ROUND(Quantification_Tool!C141,2),"")</f>
        <v/>
      </c>
      <c r="J8" s="315"/>
      <c r="K8" s="316"/>
      <c r="L8" s="316"/>
      <c r="M8" s="316"/>
      <c r="N8" s="316"/>
      <c r="O8" s="317"/>
    </row>
    <row r="9" spans="1:15" ht="15.5" x14ac:dyDescent="0.35">
      <c r="A9" s="493" t="s">
        <v>173</v>
      </c>
      <c r="B9" s="494"/>
      <c r="C9" s="62"/>
      <c r="E9" s="499" t="s">
        <v>174</v>
      </c>
      <c r="F9" s="500"/>
      <c r="G9" s="501"/>
      <c r="H9" s="64" t="str">
        <f>IF(Quantification_Tool!E141="","",Quantification_Tool!E141)</f>
        <v/>
      </c>
      <c r="J9" s="366"/>
      <c r="K9" s="495"/>
      <c r="L9" s="495"/>
      <c r="M9" s="495"/>
      <c r="N9" s="495"/>
      <c r="O9" s="368"/>
    </row>
    <row r="10" spans="1:15" ht="15.5" x14ac:dyDescent="0.35">
      <c r="A10" s="493" t="s">
        <v>105</v>
      </c>
      <c r="B10" s="494"/>
      <c r="C10" s="63"/>
      <c r="E10" s="499" t="s">
        <v>106</v>
      </c>
      <c r="F10" s="500"/>
      <c r="G10" s="501"/>
      <c r="H10" s="65" t="str">
        <f>IFERROR(H9-H8,"")</f>
        <v/>
      </c>
      <c r="J10" s="366"/>
      <c r="K10" s="495"/>
      <c r="L10" s="495"/>
      <c r="M10" s="495"/>
      <c r="N10" s="495"/>
      <c r="O10" s="368"/>
    </row>
    <row r="11" spans="1:15" ht="15.5" x14ac:dyDescent="0.35">
      <c r="A11" s="493" t="s">
        <v>107</v>
      </c>
      <c r="B11" s="494"/>
      <c r="C11" s="63"/>
      <c r="E11" s="499" t="s">
        <v>108</v>
      </c>
      <c r="F11" s="500"/>
      <c r="G11" s="501"/>
      <c r="H11" s="66" t="str">
        <f>IFERROR(H10/H8,"")</f>
        <v/>
      </c>
      <c r="J11" s="318"/>
      <c r="K11" s="319"/>
      <c r="L11" s="319"/>
      <c r="M11" s="319"/>
      <c r="N11" s="319"/>
      <c r="O11" s="320"/>
    </row>
    <row r="12" spans="1:15" ht="15.5" x14ac:dyDescent="0.35">
      <c r="A12" s="493" t="s">
        <v>109</v>
      </c>
      <c r="B12" s="494"/>
      <c r="C12" s="63"/>
      <c r="E12" s="499" t="s">
        <v>163</v>
      </c>
      <c r="F12" s="500"/>
      <c r="G12" s="501"/>
      <c r="H12" s="67">
        <f>C8</f>
        <v>0</v>
      </c>
      <c r="J12" s="5"/>
      <c r="O12" s="13"/>
    </row>
    <row r="13" spans="1:15" ht="15.5" x14ac:dyDescent="0.35">
      <c r="A13" s="493" t="s">
        <v>111</v>
      </c>
      <c r="B13" s="494"/>
      <c r="C13" s="62"/>
      <c r="E13" s="499" t="s">
        <v>175</v>
      </c>
      <c r="F13" s="500"/>
      <c r="G13" s="501"/>
      <c r="H13" s="67">
        <f>C9</f>
        <v>0</v>
      </c>
      <c r="J13" s="294" t="s">
        <v>113</v>
      </c>
      <c r="K13" s="295"/>
      <c r="L13" s="295"/>
      <c r="M13" s="295"/>
      <c r="N13" s="295"/>
      <c r="O13" s="296"/>
    </row>
    <row r="14" spans="1:15" ht="15.5" x14ac:dyDescent="0.35">
      <c r="A14" s="493" t="s">
        <v>114</v>
      </c>
      <c r="B14" s="494"/>
      <c r="C14" s="63"/>
      <c r="E14" s="499" t="s">
        <v>115</v>
      </c>
      <c r="F14" s="500"/>
      <c r="G14" s="501"/>
      <c r="H14" s="68">
        <f>IFERROR(H13-H12,"")</f>
        <v>0</v>
      </c>
      <c r="J14" s="315"/>
      <c r="K14" s="316"/>
      <c r="L14" s="316"/>
      <c r="M14" s="316"/>
      <c r="N14" s="316"/>
      <c r="O14" s="317"/>
    </row>
    <row r="15" spans="1:15" ht="15.5" x14ac:dyDescent="0.35">
      <c r="A15" s="493" t="s">
        <v>116</v>
      </c>
      <c r="B15" s="494"/>
      <c r="C15" s="63"/>
      <c r="E15" s="499" t="s">
        <v>165</v>
      </c>
      <c r="F15" s="500"/>
      <c r="G15" s="501"/>
      <c r="H15" s="69" t="str">
        <f>IF(OR(C8="",C9=""),"",ROUND(IFERROR(H8*H12,""),2))</f>
        <v/>
      </c>
      <c r="J15" s="366"/>
      <c r="K15" s="495"/>
      <c r="L15" s="495"/>
      <c r="M15" s="495"/>
      <c r="N15" s="495"/>
      <c r="O15" s="368"/>
    </row>
    <row r="16" spans="1:15" ht="15.5" x14ac:dyDescent="0.35">
      <c r="A16" s="493" t="s">
        <v>166</v>
      </c>
      <c r="B16" s="494"/>
      <c r="C16" s="63"/>
      <c r="E16" s="499" t="s">
        <v>176</v>
      </c>
      <c r="F16" s="500"/>
      <c r="G16" s="501"/>
      <c r="H16" s="69" t="str">
        <f>IF(OR(C8="",C9=""),"",ROUND(IFERROR(H13*H9,""),2))</f>
        <v/>
      </c>
      <c r="J16" s="366"/>
      <c r="K16" s="495"/>
      <c r="L16" s="495"/>
      <c r="M16" s="495"/>
      <c r="N16" s="495"/>
      <c r="O16" s="368"/>
    </row>
    <row r="17" spans="1:15" ht="15.5" x14ac:dyDescent="0.35">
      <c r="A17" s="493" t="s">
        <v>120</v>
      </c>
      <c r="B17" s="494"/>
      <c r="C17" s="62"/>
      <c r="E17" s="499" t="s">
        <v>423</v>
      </c>
      <c r="F17" s="500"/>
      <c r="G17" s="501"/>
      <c r="H17" s="70" t="str">
        <f>IF(OR(C8="",C9=""),"",_xlfn.CONCAT(H16-H15," ",LEFT(C15,1),IF(C14="First",1,IF(C14="Second",2,IF(C14="Third",3,IF(C14="Fourth or greater","4+"))))))</f>
        <v/>
      </c>
      <c r="J17" s="366"/>
      <c r="K17" s="495"/>
      <c r="L17" s="495"/>
      <c r="M17" s="495"/>
      <c r="N17" s="495"/>
      <c r="O17" s="368"/>
    </row>
    <row r="18" spans="1:15" ht="33.75" customHeight="1" x14ac:dyDescent="0.35">
      <c r="A18" s="502" t="s">
        <v>121</v>
      </c>
      <c r="B18" s="503"/>
      <c r="C18" s="63"/>
      <c r="E18" s="499" t="s">
        <v>122</v>
      </c>
      <c r="F18" s="500"/>
      <c r="G18" s="501"/>
      <c r="H18" s="71" t="str">
        <f>IFERROR((H16-H15)/H13,"")</f>
        <v/>
      </c>
      <c r="J18" s="366"/>
      <c r="K18" s="495"/>
      <c r="L18" s="495"/>
      <c r="M18" s="495"/>
      <c r="N18" s="495"/>
      <c r="O18" s="368"/>
    </row>
    <row r="19" spans="1:15" ht="15.5" x14ac:dyDescent="0.35">
      <c r="A19" s="493" t="s">
        <v>123</v>
      </c>
      <c r="B19" s="494"/>
      <c r="C19" s="63"/>
      <c r="E19" s="512" t="s">
        <v>169</v>
      </c>
      <c r="F19" s="513"/>
      <c r="G19" s="514"/>
      <c r="H19" s="72" t="str">
        <f>IF(H15="","",H15/C8)</f>
        <v/>
      </c>
      <c r="J19" s="366"/>
      <c r="K19" s="495"/>
      <c r="L19" s="495"/>
      <c r="M19" s="495"/>
      <c r="N19" s="495"/>
      <c r="O19" s="368"/>
    </row>
    <row r="20" spans="1:15" ht="15.5" customHeight="1" x14ac:dyDescent="0.35">
      <c r="A20" s="502" t="s">
        <v>125</v>
      </c>
      <c r="B20" s="503"/>
      <c r="C20" s="63"/>
      <c r="E20" s="512" t="s">
        <v>177</v>
      </c>
      <c r="F20" s="513"/>
      <c r="G20" s="514"/>
      <c r="H20" s="72" t="str">
        <f>IF(H16="","",H16/C9)</f>
        <v/>
      </c>
      <c r="J20" s="318"/>
      <c r="K20" s="319"/>
      <c r="L20" s="319"/>
      <c r="M20" s="319"/>
      <c r="N20" s="319"/>
      <c r="O20" s="320"/>
    </row>
    <row r="21" spans="1:15" ht="20.5" customHeight="1" x14ac:dyDescent="0.55000000000000004">
      <c r="A21" s="504" t="s">
        <v>127</v>
      </c>
      <c r="B21" s="505"/>
      <c r="C21" s="63"/>
      <c r="D21" s="73"/>
      <c r="E21" s="506" t="s">
        <v>422</v>
      </c>
      <c r="F21" s="507"/>
      <c r="G21" s="508"/>
      <c r="H21" s="479"/>
      <c r="I21" s="73"/>
      <c r="J21" s="73"/>
      <c r="K21" s="73"/>
    </row>
    <row r="22" spans="1:15" ht="20.5" customHeight="1" x14ac:dyDescent="0.55000000000000004">
      <c r="A22" s="477"/>
      <c r="B22" s="477"/>
      <c r="C22" s="478"/>
      <c r="D22" s="73"/>
      <c r="E22" s="509" t="s">
        <v>419</v>
      </c>
      <c r="F22" s="510"/>
      <c r="G22" s="511"/>
      <c r="H22" s="480" t="str">
        <f>IF(H21="","",1-((H21/H18)/H12))</f>
        <v/>
      </c>
      <c r="I22" s="73"/>
      <c r="J22" s="73"/>
      <c r="K22" s="73"/>
    </row>
    <row r="23" spans="1:15" x14ac:dyDescent="0.35">
      <c r="H23" s="4"/>
      <c r="I23" s="4"/>
      <c r="J23" s="4"/>
      <c r="K23" s="4"/>
      <c r="L23" s="4"/>
    </row>
    <row r="24" spans="1:15" ht="21" customHeight="1" x14ac:dyDescent="0.5">
      <c r="A24" s="381" t="s">
        <v>40</v>
      </c>
      <c r="B24" s="383" t="s">
        <v>41</v>
      </c>
      <c r="C24" s="384" t="s">
        <v>42</v>
      </c>
      <c r="D24" s="385"/>
      <c r="E24" s="377" t="s">
        <v>171</v>
      </c>
      <c r="F24" s="378"/>
      <c r="G24" s="378"/>
      <c r="H24" s="378"/>
      <c r="I24" s="357" t="s">
        <v>178</v>
      </c>
      <c r="J24" s="357"/>
      <c r="K24" s="357"/>
      <c r="L24" s="357"/>
    </row>
    <row r="25" spans="1:15" ht="15.5" x14ac:dyDescent="0.35">
      <c r="A25" s="382"/>
      <c r="B25" s="383"/>
      <c r="C25" s="386"/>
      <c r="D25" s="387"/>
      <c r="E25" s="74" t="s">
        <v>130</v>
      </c>
      <c r="F25" s="75" t="s">
        <v>131</v>
      </c>
      <c r="G25" s="74" t="s">
        <v>132</v>
      </c>
      <c r="H25" s="74" t="s">
        <v>133</v>
      </c>
      <c r="I25" s="74" t="s">
        <v>130</v>
      </c>
      <c r="J25" s="75" t="s">
        <v>131</v>
      </c>
      <c r="K25" s="74" t="s">
        <v>132</v>
      </c>
      <c r="L25" s="74" t="s">
        <v>133</v>
      </c>
    </row>
    <row r="26" spans="1:15" ht="15.5" x14ac:dyDescent="0.35">
      <c r="A26" s="396" t="s">
        <v>44</v>
      </c>
      <c r="B26" s="398" t="s">
        <v>45</v>
      </c>
      <c r="C26" s="76" t="s">
        <v>46</v>
      </c>
      <c r="D26" s="77"/>
      <c r="E26" s="78"/>
      <c r="F26" s="79" t="str">
        <f>IF(E26="","",IF(E26&lt;=55,1,(ROUND(IF(E26&lt;=68,'Reference Curves'!$E$15*E26+'Reference Curves'!$E$16,IF(E26&gt;75,'Reference Curves'!$C$15*E26+'Reference Curves'!$C$16,'Reference Curves'!$D$15*E26+'Reference Curves'!$D$16)),2))))</f>
        <v/>
      </c>
      <c r="G26" s="400" t="str">
        <f>IFERROR(AVERAGE(F26:F27),"")</f>
        <v/>
      </c>
      <c r="H26" s="400" t="str">
        <f>IFERROR(ROUND(AVERAGE(G26),2),"")</f>
        <v/>
      </c>
      <c r="I26" s="78"/>
      <c r="J26" s="79" t="str">
        <f>IF(I26="","",IF(I26&lt;=55,1,(ROUND(IF(I26&lt;=68,'Reference Curves'!$E$15*I26+'Reference Curves'!$E$16,IF(I26&gt;75,'Reference Curves'!$C$15*I26+'Reference Curves'!$C$16,'Reference Curves'!$D$15*I26+'Reference Curves'!$D$16)),2))))</f>
        <v/>
      </c>
      <c r="K26" s="400" t="str">
        <f>IFERROR(AVERAGE(J26:J27),"")</f>
        <v/>
      </c>
      <c r="L26" s="400" t="str">
        <f>IFERROR(ROUND(AVERAGE(K26),2),"")</f>
        <v/>
      </c>
      <c r="N26" s="80"/>
    </row>
    <row r="27" spans="1:15" ht="15.5" x14ac:dyDescent="0.35">
      <c r="A27" s="397"/>
      <c r="B27" s="399"/>
      <c r="C27" s="82" t="s">
        <v>48</v>
      </c>
      <c r="D27" s="83"/>
      <c r="E27" s="84"/>
      <c r="F27" s="85" t="str">
        <f>IF(E27="","",IF(E27&gt;=1,0,ROUND(IF(E27&lt;=0.6,'Reference Curves'!$C$50*E27+'Reference Curves'!$C$51,'Reference Curves'!$D$50*E27+'Reference Curves'!$D$51),2)))</f>
        <v/>
      </c>
      <c r="G27" s="401"/>
      <c r="H27" s="401"/>
      <c r="I27" s="84"/>
      <c r="J27" s="85" t="str">
        <f>IF(I27="","",IF(I27&gt;=1,0,ROUND(IF(I27&lt;=0.6,'Reference Curves'!$C$50*I27+'Reference Curves'!$C$51,'Reference Curves'!$D$50*I27+'Reference Curves'!$D$51),2)))</f>
        <v/>
      </c>
      <c r="K27" s="401"/>
      <c r="L27" s="401"/>
      <c r="N27" s="80"/>
      <c r="O27" s="80"/>
    </row>
    <row r="28" spans="1:15" ht="15.5" x14ac:dyDescent="0.35">
      <c r="A28" s="406" t="s">
        <v>49</v>
      </c>
      <c r="B28" s="408" t="s">
        <v>50</v>
      </c>
      <c r="C28" s="87" t="s">
        <v>51</v>
      </c>
      <c r="D28" s="87"/>
      <c r="E28" s="88"/>
      <c r="F28" s="89" t="str">
        <f>IF(E28="","",ROUND(IF(E28&gt;1.71,0,IF(E28&lt;=1,1,E28*'Reference Curves'!$L$14+'Reference Curves'!$L$15)),2))</f>
        <v/>
      </c>
      <c r="G28" s="389" t="str">
        <f>IFERROR(AVERAGE(F28:F29),"")</f>
        <v/>
      </c>
      <c r="H28" s="388" t="str">
        <f>IFERROR(ROUND(AVERAGE(G28:G29),2),"")</f>
        <v/>
      </c>
      <c r="I28" s="88"/>
      <c r="J28" s="89" t="str">
        <f>IF(I28="","",ROUND(IF(I28&gt;1.71,0,IF(I28&lt;=1,1,I28*'Reference Curves'!$L$14+'Reference Curves'!$L$15)),2))</f>
        <v/>
      </c>
      <c r="K28" s="389" t="str">
        <f>IFERROR(AVERAGE(J28:J29),"")</f>
        <v/>
      </c>
      <c r="L28" s="388" t="str">
        <f>IFERROR(ROUND(AVERAGE(K28:K29),2),"")</f>
        <v/>
      </c>
      <c r="N28" s="80"/>
      <c r="O28" s="80"/>
    </row>
    <row r="29" spans="1:15" ht="15.5" x14ac:dyDescent="0.35">
      <c r="A29" s="407"/>
      <c r="B29" s="409"/>
      <c r="C29" s="90" t="s">
        <v>52</v>
      </c>
      <c r="D29" s="90"/>
      <c r="E29" s="84"/>
      <c r="F29" s="91" t="str">
        <f>IF(E29="","",
IF(LEFT($C$11,1)="C",
ROUND(IF(E29&gt;=7.3,1,
IF(E29&lt;=1,0,
IF(E29&lt;=2.2, E29*'Reference Curves'!$L$49+'Reference Curves'!$L$50, E29*'Reference Curves'!$M$49+'Reference Curves'!$M$50))),2),
IF(LEFT($C$11,1)="B",
ROUND(IF(E29&gt;=2,1,
IF(E29&lt;=1,0,
IF(E29&lt;=1.4,E29*'Reference Curves'!$L$117+'Reference Curves'!$L$118,E29*'Reference Curves'!$M$117+'Reference Curves'!$M$118))),2),               IF(OR(LEFT($C$11,1)="E"), ROUND(IF(E29&gt;=10,1,
IF(E29&lt;=1,0,
IF(E29&lt;=2.2,  E29*'Reference Curves'!$L$82+'Reference Curves'!$L$83,
E29*'Reference Curves'!$M$82+'Reference Curves'!$M$83))),2)))))</f>
        <v/>
      </c>
      <c r="G29" s="410"/>
      <c r="H29" s="389"/>
      <c r="I29" s="84"/>
      <c r="J29" s="91" t="str">
        <f>IF(I29="","",
IF(LEFT($C$11,1)="C",
ROUND(IF(I29&gt;=7.3,1,
IF(I29&lt;=1,0,
IF(I29&lt;=2.2, I29*'Reference Curves'!$L$49+'Reference Curves'!$L$50, I29*'Reference Curves'!$M$49+'Reference Curves'!$M$50))),2),
IF(LEFT($C$11,1)="B",
ROUND(IF(I29&gt;=2,1,
IF(I29&lt;=1,0,
IF(I29&lt;=1.4,I29*'Reference Curves'!$L$117+'Reference Curves'!$L$118,I29*'Reference Curves'!$M$117+'Reference Curves'!$M$118))),2),               IF(OR(LEFT($C$11,1)="E"), ROUND(IF(I29&gt;=10,1,
IF(I29&lt;=1,0,
IF(I29&lt;=2.2,  I29*'Reference Curves'!$L$82+'Reference Curves'!$L$83,
I29*'Reference Curves'!$M$82+'Reference Curves'!$M$83))),2)))))</f>
        <v/>
      </c>
      <c r="K29" s="410"/>
      <c r="L29" s="389"/>
      <c r="N29" s="80"/>
      <c r="O29" s="80"/>
    </row>
    <row r="30" spans="1:15" ht="15.5" x14ac:dyDescent="0.35">
      <c r="A30" s="420" t="s">
        <v>54</v>
      </c>
      <c r="B30" s="92" t="s">
        <v>55</v>
      </c>
      <c r="C30" s="93" t="s">
        <v>56</v>
      </c>
      <c r="D30" s="94"/>
      <c r="E30" s="95"/>
      <c r="F30" s="96" t="str">
        <f>IF(E30="","",ROUND(IF(E30&gt;=731,1,IF(E30&lt;355,'Reference Curves'!$U$15*E30+'Reference Curves'!$U$16,'Reference Curves'!$V$15*E30+'Reference Curves'!$V$16)),2))</f>
        <v/>
      </c>
      <c r="G30" s="97" t="str">
        <f>IFERROR(AVERAGE(F30:F30),"")</f>
        <v/>
      </c>
      <c r="H30" s="390" t="str">
        <f>IFERROR(ROUND(AVERAGE(G30:G44),2),"")</f>
        <v/>
      </c>
      <c r="I30" s="95"/>
      <c r="J30" s="98" t="str">
        <f>IF(I30="","",ROUND(IF(I30&gt;=731,1,IF(I30&lt;355,'Reference Curves'!$U$15*I30+'Reference Curves'!$U$16,'Reference Curves'!$V$15*I30+'Reference Curves'!$V$16)),2))</f>
        <v/>
      </c>
      <c r="K30" s="99" t="str">
        <f>IFERROR(AVERAGE(J30:J30),"")</f>
        <v/>
      </c>
      <c r="L30" s="390" t="str">
        <f>IFERROR(ROUND(AVERAGE(K30:K44),2),"")</f>
        <v/>
      </c>
      <c r="N30" s="80"/>
      <c r="O30" s="80"/>
    </row>
    <row r="31" spans="1:15" ht="15.5" x14ac:dyDescent="0.35">
      <c r="A31" s="421"/>
      <c r="B31" s="405" t="s">
        <v>58</v>
      </c>
      <c r="C31" s="100" t="s">
        <v>59</v>
      </c>
      <c r="D31" s="100"/>
      <c r="E31" s="101"/>
      <c r="F31" s="102" t="str">
        <f>IF(E31="","",IF(OR(E31="Ex/VL",E31="VH/VL",E31="H/M",E31="H/L",E31="H/VL"),0.2, IF(OR(LEFT(E31,2)="Ex",E31="VH/Ex",E31="VH/VH", E31="VH/H"),0,IF(OR(E31="VH/M",E31="VH/L",E31="H/Ex", E31="H/VH", E31="H/H"),0.1, IF(OR(E31="M/Ex",E31="M/VH"),0.3, IF(E31="M/H",0.4, IF(E31="M/M",0.5, IF(OR(E31="M/L",E31="M/VL"),0.6, IF(E31="L/Ex",0.7, IF(OR(LEFT(E31,1)="L",LEFT(E31,2)="VL"),1))))))))))</f>
        <v/>
      </c>
      <c r="G31" s="390" t="str">
        <f>IFERROR(IF(E33&gt;=50,0,AVERAGE(F31:F33)),"")</f>
        <v/>
      </c>
      <c r="H31" s="391"/>
      <c r="I31" s="101"/>
      <c r="J31" s="102" t="str">
        <f>IF(I31="","",IF(OR(I31="Ex/VL",I31="VH/VL",I31="H/M",I31="H/L",I31="H/VL"),0.2, IF(OR(LEFT(I31,2)="Ex",I31="VH/Ex",I31="VH/VH", I31="VH/H"),0,IF(OR(I31="VH/M",I31="VH/L",I31="H/Ex", I31="H/VH", I31="H/H"),0.1, IF(OR(I31="M/Ex",I31="M/VH"),0.3, IF(I31="M/H",0.4, IF(I31="M/M",0.5, IF(OR(I31="M/L",I31="M/VL"),0.6, IF(I31="L/Ex",0.7, IF(OR(LEFT(I31,1)="L",LEFT(I31,2)="VL"),1))))))))))</f>
        <v/>
      </c>
      <c r="K31" s="435" t="str">
        <f>IFERROR(IF(I33&gt;=50,0,AVERAGE(J31:J33)),"")</f>
        <v/>
      </c>
      <c r="L31" s="391"/>
      <c r="N31" s="80"/>
      <c r="O31" s="80"/>
    </row>
    <row r="32" spans="1:15" ht="15.5" x14ac:dyDescent="0.35">
      <c r="A32" s="421"/>
      <c r="B32" s="405"/>
      <c r="C32" s="104" t="s">
        <v>60</v>
      </c>
      <c r="D32" s="100"/>
      <c r="E32" s="105"/>
      <c r="F32" s="102" t="str">
        <f>IF(E32="","",ROUND(IF(E32&gt;=50,0,IF(E32&lt;=5,1,IF(E32&gt;11,E32*'Reference Curves'!$U$117+'Reference Curves'!$U$118,E32*'Reference Curves'!$V$117+'Reference Curves'!$V$118))),2))</f>
        <v/>
      </c>
      <c r="G32" s="391"/>
      <c r="H32" s="391"/>
      <c r="I32" s="105"/>
      <c r="J32" s="102" t="str">
        <f>IF(I32="","",ROUND(IF(I32&gt;=50,0,IF(I32&lt;=5,1,IF(I32&gt;11,I32*'Reference Curves'!$U$117+'Reference Curves'!$U$118,I32*'Reference Curves'!$V$117+'Reference Curves'!$V$118))),2))</f>
        <v/>
      </c>
      <c r="K32" s="435"/>
      <c r="L32" s="391"/>
      <c r="N32" s="80"/>
      <c r="O32" s="80"/>
    </row>
    <row r="33" spans="1:15" ht="15.5" x14ac:dyDescent="0.35">
      <c r="A33" s="421"/>
      <c r="B33" s="434"/>
      <c r="C33" s="106" t="s">
        <v>61</v>
      </c>
      <c r="D33" s="106"/>
      <c r="E33" s="107"/>
      <c r="F33" s="108" t="str">
        <f>IF(E33="","",IF(E33=0,1,ROUND(IF(E33&gt;=30,0,E33*'Reference Curves'!$U$149+'Reference Curves'!$U$150),2)))</f>
        <v/>
      </c>
      <c r="G33" s="392"/>
      <c r="H33" s="391"/>
      <c r="I33" s="107"/>
      <c r="J33" s="108" t="str">
        <f>IF(I33="","",IF(I33=0,1,ROUND(IF(I33&gt;=30,0,I33*'Reference Curves'!$U$149+'Reference Curves'!$U$150),2)))</f>
        <v/>
      </c>
      <c r="K33" s="435"/>
      <c r="L33" s="391"/>
      <c r="N33" s="80"/>
      <c r="O33" s="80"/>
    </row>
    <row r="34" spans="1:15" ht="15.5" x14ac:dyDescent="0.35">
      <c r="A34" s="421"/>
      <c r="B34" s="402" t="s">
        <v>62</v>
      </c>
      <c r="C34" s="109" t="s">
        <v>134</v>
      </c>
      <c r="D34" s="110"/>
      <c r="E34" s="111"/>
      <c r="F34" s="112" t="str">
        <f>IF(E34="","",IF(E34=0,0,ROUND(IF(OR($C$12="Colluvial",$C$12="Confined alluvial"),IF(E34&gt;=50,1,IF(E34&lt;50,E34*'Reference Curves'!$V$183+'Reference Curves'!$V$184,E34*'Reference Curves'!$U$183+'Reference Curves'!$U$184)),IF($C$12="Unconfined Alluvial",IF(E34&gt;=100,1,IF(E34&gt;34,E34*'Reference Curves'!$V$217+'Reference Curves'!$V$218,E34*'Reference Curves'!$U$217+'Reference Curves'!$U$218)))),2)))</f>
        <v/>
      </c>
      <c r="G34" s="390" t="str">
        <f>IFERROR(AVERAGE(F34:F41),"")</f>
        <v/>
      </c>
      <c r="H34" s="391"/>
      <c r="I34" s="111"/>
      <c r="J34" s="112" t="str">
        <f>IF(I34="","",IF(I34=0,0,ROUND(IF(OR($C$12="Colluvial",$C$12="Confined alluvial"),IF(I34&gt;=50,1,IF(I34&lt;50,I34*'Reference Curves'!$V$183+'Reference Curves'!$V$184,I34*'Reference Curves'!$U$183+'Reference Curves'!$U$184)),IF($C$12="Unconfined Alluvial",IF(I34&gt;=100,1,IF(I34&lt;100,I34*'Reference Curves'!$V$217+'Reference Curves'!$V$218,I34*'Reference Curves'!$U$217+'Reference Curves'!$U$218)))),2)))</f>
        <v/>
      </c>
      <c r="K34" s="390" t="str">
        <f>IFERROR(AVERAGE(J34:J41),"")</f>
        <v/>
      </c>
      <c r="L34" s="391"/>
      <c r="N34" s="80"/>
      <c r="O34" s="80"/>
    </row>
    <row r="35" spans="1:15" ht="15.5" x14ac:dyDescent="0.35">
      <c r="A35" s="421"/>
      <c r="B35" s="403"/>
      <c r="C35" s="104" t="s">
        <v>135</v>
      </c>
      <c r="D35" s="113"/>
      <c r="E35" s="114"/>
      <c r="F35" s="112" t="str">
        <f>IF(E35="","",IF(E35=0,0,ROUND(IF(OR($C$12="Colluvial",$C$12="Confined alluvial"),IF(E35&gt;=50,1,IF(E35&lt;50,E35*'Reference Curves'!$V$183+'Reference Curves'!$V$184,E35*'Reference Curves'!$U$183+'Reference Curves'!$U$184)),IF($C$12="Unconfined Alluvial",IF(E35&gt;=100,1,IF(E35&gt;34,E35*'Reference Curves'!$V$217+'Reference Curves'!$V$218,E35*'Reference Curves'!$U$217+'Reference Curves'!$U$218)))),2)))</f>
        <v/>
      </c>
      <c r="G35" s="391"/>
      <c r="H35" s="391"/>
      <c r="I35" s="114"/>
      <c r="J35" s="112" t="str">
        <f>IF(I35="","",IF(I35=0,0,ROUND(IF(OR($C$12="Colluvial",$C$12="Confined alluvial"),IF(I35&gt;=50,1,IF(I35&lt;50,I35*'Reference Curves'!$V$183+'Reference Curves'!$V$184,I35*'Reference Curves'!$U$183+'Reference Curves'!$U$184)),IF($C$12="Unconfined Alluvial",IF(I35&gt;=100,1,IF(I35&lt;100,I35*'Reference Curves'!$V$217+'Reference Curves'!$V$218,I35*'Reference Curves'!$U$217+'Reference Curves'!$U$218)))),2)))</f>
        <v/>
      </c>
      <c r="K35" s="391"/>
      <c r="L35" s="391"/>
      <c r="N35" s="80"/>
      <c r="O35" s="80"/>
    </row>
    <row r="36" spans="1:15" ht="15.5" x14ac:dyDescent="0.35">
      <c r="A36" s="421"/>
      <c r="B36" s="403"/>
      <c r="C36" s="104" t="s">
        <v>136</v>
      </c>
      <c r="D36" s="113"/>
      <c r="E36" s="114"/>
      <c r="F36" s="115" t="str">
        <f>IF(E36="","",IF(E36&gt;=120,1,ROUND(IF(E36&gt;=55,'Reference Curves'!$U$956*E36+'Reference Curves'!$U$957,'Reference Curves'!$V$956*E36+'Reference Curves'!$V$957),2)))</f>
        <v/>
      </c>
      <c r="G36" s="391"/>
      <c r="H36" s="391"/>
      <c r="I36" s="114"/>
      <c r="J36" s="115" t="str">
        <f>IF(I36="","",IF(I36&gt;=120,1,ROUND(IF(I36&gt;=55,'Reference Curves'!$U$956*I36+'Reference Curves'!$U$957,'Reference Curves'!$V$956*I36+'Reference Curves'!$V$957),2)))</f>
        <v/>
      </c>
      <c r="K36" s="391"/>
      <c r="L36" s="391"/>
      <c r="N36" s="80"/>
      <c r="O36" s="80"/>
    </row>
    <row r="37" spans="1:15" ht="15.5" x14ac:dyDescent="0.35">
      <c r="A37" s="421"/>
      <c r="B37" s="403"/>
      <c r="C37" s="104" t="s">
        <v>137</v>
      </c>
      <c r="D37" s="113"/>
      <c r="E37" s="114"/>
      <c r="F37" s="115" t="str">
        <f>IF(E37="","",IF(E37&gt;=120,1,ROUND(IF(E37&gt;=55,'Reference Curves'!$U$956*E37+'Reference Curves'!$U$957,'Reference Curves'!$V$956*E37+'Reference Curves'!$V$957),2)))</f>
        <v/>
      </c>
      <c r="G37" s="391"/>
      <c r="H37" s="391"/>
      <c r="I37" s="114"/>
      <c r="J37" s="115" t="str">
        <f>IF(I37="","",IF(I37&gt;=120,1,ROUND(IF(I37&gt;=55,'Reference Curves'!$U$956*I37+'Reference Curves'!$U$957,'Reference Curves'!$V$956*I37+'Reference Curves'!$V$957),2)))</f>
        <v/>
      </c>
      <c r="K37" s="391"/>
      <c r="L37" s="391"/>
      <c r="N37" s="80"/>
      <c r="O37" s="80"/>
    </row>
    <row r="38" spans="1:15" ht="15.5" x14ac:dyDescent="0.35">
      <c r="A38" s="421"/>
      <c r="B38" s="403"/>
      <c r="C38" s="104" t="s">
        <v>146</v>
      </c>
      <c r="D38" s="113"/>
      <c r="E38" s="114"/>
      <c r="F38" s="112" t="str">
        <f>IF(E38="","",ROUND(IF(AND(E38&gt;=250,E38&lt;=330),1,IF(E38&gt;=366,0.5,IF(E38&lt;250,E38*'[1]Reference Curves'!$U$283+'[1]Reference Curves'!$U$284,E38*'[1]Reference Curves'!$V$283+'[1]Reference Curves'!$V$284))),2))</f>
        <v/>
      </c>
      <c r="G38" s="391"/>
      <c r="H38" s="391"/>
      <c r="I38" s="114"/>
      <c r="J38" s="112" t="str">
        <f>IF(I38="","",ROUND(IF(AND(I38&gt;=250,I38&lt;=330),1,IF(I38&gt;=366,0.5,IF(I38&lt;250,I38*'[1]Reference Curves'!$U$283+'[1]Reference Curves'!$U$284,I38*'[1]Reference Curves'!$V$283+'[1]Reference Curves'!$V$284))),2))</f>
        <v/>
      </c>
      <c r="K38" s="391"/>
      <c r="L38" s="391"/>
      <c r="N38" s="80"/>
      <c r="O38" s="80"/>
    </row>
    <row r="39" spans="1:15" ht="15.5" x14ac:dyDescent="0.35">
      <c r="A39" s="421"/>
      <c r="B39" s="403"/>
      <c r="C39" s="104" t="s">
        <v>147</v>
      </c>
      <c r="D39" s="113"/>
      <c r="E39" s="114"/>
      <c r="F39" s="112" t="str">
        <f>IF(E39="","",ROUND(IF(AND(E39&gt;=250,E39&lt;=330),1,IF(E39&gt;=366,0.5,IF(E39&lt;250,E39*'[1]Reference Curves'!$U$283+'[1]Reference Curves'!$U$284,E39*'[1]Reference Curves'!$V$283+'[1]Reference Curves'!$V$284))),2))</f>
        <v/>
      </c>
      <c r="G39" s="391"/>
      <c r="H39" s="391"/>
      <c r="I39" s="114"/>
      <c r="J39" s="112" t="str">
        <f>IF(I39="","",ROUND(IF(AND(I39&gt;=250,I39&lt;=330),1,IF(I39&gt;=366,0.5,IF(I39&lt;250,I39*'[1]Reference Curves'!$U$283+'[1]Reference Curves'!$U$284,I39*'[1]Reference Curves'!$V$283+'[1]Reference Curves'!$V$284))),2))</f>
        <v/>
      </c>
      <c r="K39" s="391"/>
      <c r="L39" s="391"/>
      <c r="N39" s="80"/>
      <c r="O39" s="80"/>
    </row>
    <row r="40" spans="1:15" ht="15.5" x14ac:dyDescent="0.35">
      <c r="A40" s="421"/>
      <c r="B40" s="403"/>
      <c r="C40" s="104" t="s">
        <v>138</v>
      </c>
      <c r="D40" s="113"/>
      <c r="E40" s="116"/>
      <c r="F40" s="112" t="str">
        <f>IF(E40="","",ROUND(IF(E40=0,1,IF(E40&gt;=50,0,'Reference Curves'!$U$318*E40+'Reference Curves'!$U$319)),2))</f>
        <v/>
      </c>
      <c r="G40" s="391"/>
      <c r="H40" s="391"/>
      <c r="I40" s="116"/>
      <c r="J40" s="112" t="str">
        <f>IF(I40="","",ROUND(IF(I40=0,1,IF(I40&gt;=50,0,'Reference Curves'!$U$318*I40+'Reference Curves'!$U$319)),2))</f>
        <v/>
      </c>
      <c r="K40" s="391"/>
      <c r="L40" s="391"/>
      <c r="N40" s="80"/>
      <c r="O40" s="80"/>
    </row>
    <row r="41" spans="1:15" ht="15.5" x14ac:dyDescent="0.35">
      <c r="A41" s="421"/>
      <c r="B41" s="403"/>
      <c r="C41" s="104" t="s">
        <v>139</v>
      </c>
      <c r="D41" s="113"/>
      <c r="E41" s="116"/>
      <c r="F41" s="112" t="str">
        <f>IF(E41="","",ROUND(IF(E41=0,1,IF(E41&gt;=50,0,'Reference Curves'!$U$318*E41+'Reference Curves'!$U$319)),2))</f>
        <v/>
      </c>
      <c r="G41" s="391"/>
      <c r="H41" s="391"/>
      <c r="I41" s="116"/>
      <c r="J41" s="112" t="str">
        <f>IF(I41="","",ROUND(IF(I41=0,1,IF(I41&gt;=50,0,'Reference Curves'!$U$318*I41+'Reference Curves'!$U$319)),2))</f>
        <v/>
      </c>
      <c r="K41" s="391"/>
      <c r="L41" s="391"/>
      <c r="N41" s="80"/>
      <c r="O41" s="80"/>
    </row>
    <row r="42" spans="1:15" ht="15.5" x14ac:dyDescent="0.35">
      <c r="A42" s="421"/>
      <c r="B42" s="404" t="s">
        <v>69</v>
      </c>
      <c r="C42" s="118" t="s">
        <v>70</v>
      </c>
      <c r="D42" s="110"/>
      <c r="E42" s="78"/>
      <c r="F42" s="119" t="str">
        <f>IF(E42="","",IF($C$11="Bc", ROUND(IF(E42&lt;=5,1,IF(E42&gt;=8,0, E42^2*'Reference Curves'!$U$420+E42*'Reference Curves'!$U$421+'Reference Curves'!$U$422) ),2),
IF(LEFT($C$11,1)="B",ROUND(IF(E42&lt;=4,1,IF(E42&gt;=6.5,0, E42^2*'Reference Curves'!$U$388+E42*'Reference Curves'!$U$389+'Reference Curves'!$U$390) ),2),
IF(OR(LEFT($C$11,1)="E",LEFT($C$11,1)="C"),ROUND(IF(OR(E42&gt;=9,E42&lt;=1),0, IF(AND(E42&gt;=3.5,E42&lt;=6),1, IF(E42&lt;3.5,E42*'Reference Curves'!$U$454+'Reference Curves'!$U$455,E42*'Reference Curves'!$V$454+'Reference Curves'!$V$455 )) ),2)))  ))</f>
        <v/>
      </c>
      <c r="G42" s="390" t="str">
        <f>IFERROR(AVERAGE(F42:F44),"")</f>
        <v/>
      </c>
      <c r="H42" s="391"/>
      <c r="I42" s="78"/>
      <c r="J42" s="119" t="str">
        <f>IF(I42="","",IF($C$11="Bc", ROUND(IF(I42&lt;=5,1,IF(I42&gt;=8,0, I42^2*'Reference Curves'!$U$420+I42*'Reference Curves'!$U$421+'Reference Curves'!$U$422) ),2),
IF(LEFT($C$11,1)="B",ROUND(IF(I42&lt;=4,1,IF(I42&gt;=6.5,0, I42^2*'Reference Curves'!$U$388+I42*'Reference Curves'!$U$389+'Reference Curves'!$U$390) ),2),
IF(OR(LEFT($C$11,1)="E",LEFT($C$11,1)="C"),ROUND(IF(OR(I42&gt;=9,I42&lt;=1),0, IF(AND(I42&gt;=3.5,I42&lt;=6),1, IF(I42&lt;3.5,I42*'Reference Curves'!$U$454+'Reference Curves'!$U$455,I42*'Reference Curves'!$V$454+'Reference Curves'!$V$455 )) ),2)))  ))</f>
        <v/>
      </c>
      <c r="K42" s="390" t="str">
        <f>IFERROR(AVERAGE(J42:J44),"")</f>
        <v/>
      </c>
      <c r="L42" s="391"/>
      <c r="N42" s="80"/>
      <c r="O42" s="80"/>
    </row>
    <row r="43" spans="1:15" ht="15.5" x14ac:dyDescent="0.35">
      <c r="A43" s="421"/>
      <c r="B43" s="405"/>
      <c r="C43" s="100" t="s">
        <v>71</v>
      </c>
      <c r="D43" s="113"/>
      <c r="E43" s="88"/>
      <c r="F43" s="112" t="str">
        <f>IF(E43="","",IF(LEFT($C$11,1)="A",
IF(E43&gt;=1.7,1,
IF(E43&lt;=1,0,
ROUND(IF(E43&lt;=1.1,E43*'Reference Curves'!$U$489+'Reference Curves'!$U$490,
(IF(E43&gt;=1.4,E43*'Reference Curves'!$W$489+'Reference Curves'!$W$490,
E43*'Reference Curves'!$V$489+'Reference Curves'!$V$490))),2))),
IF(LEFT($C$11,1)="B",
IF(E43&gt;=2.9,1,
IF(E43&lt;=1,0,
ROUND(IF(E43&lt;=2,E43*'Reference Curves'!$U$522+'Reference Curves'!$U$523,
(IF(E43&gt;=2.3,E43*'Reference Curves'!$W$522+'Reference Curves'!$W$523,
E43*'Reference Curves'!$V$522+'Reference Curves'!$V$523))),2))),IF(LEFT($C$11,1)="C",
IF(E43&gt;=2.3,1,
IF(E43&lt;=1,0,
ROUND(IF(E43&lt;=1.2,E43*'Reference Curves'!$V$554+'Reference Curves'!$V$555,
(E43^2)*'Reference Curves'!$U$554+E43*'Reference Curves'!$U$555+'Reference Curves'!$U$556),2))),IF(LEFT($C$11,1)="E",IF(E43&gt;=2.1,1,
IF(E43&lt;=1,0,
ROUND(IF(E43&lt;=1.7,E43^2*'Reference Curves'!$U$589+E43*'Reference Curves'!$U$590+'Reference Curves'!$U$591,
E43*'Reference Curves'!$V$589+'Reference Curves'!$V$590),2))))))))</f>
        <v/>
      </c>
      <c r="G43" s="391"/>
      <c r="H43" s="391"/>
      <c r="I43" s="88"/>
      <c r="J43" s="112" t="str">
        <f>IF(I43="","",IF(LEFT($C$11,1)="A",
IF(I43&gt;=1.7,1,
IF(I43&lt;=1,0,
ROUND(IF(I43&lt;=1.1,I43*'Reference Curves'!$U$489+'Reference Curves'!$U$490,
(IF(I43&gt;=1.4,I43*'Reference Curves'!$W$489+'Reference Curves'!$W$490,
I43*'Reference Curves'!$V$489+'Reference Curves'!$V$490))),2))),
IF(LEFT($C$11,1)="B",
IF(I43&gt;=2.9,1,
IF(I43&lt;=1,0,
ROUND(IF(I43&lt;=2,I43*'Reference Curves'!$U$522+'Reference Curves'!$U$523,
(IF(I43&gt;=2.3,I43*'Reference Curves'!$W$522+'Reference Curves'!$W$523,
I43*'Reference Curves'!$V$522+'Reference Curves'!$V$523))),2))),IF(LEFT($C$11,1)="C",
IF(I43&gt;=2.3,1,
IF(I43&lt;=1,0,
ROUND(IF(I43&lt;=1.2,I43*'Reference Curves'!$V$554+'Reference Curves'!$V$555,
(I43^2)*'Reference Curves'!$U$554+I43*'Reference Curves'!$U$555+'Reference Curves'!$U$556),2))),IF(LEFT($C$11,1)="E",IF(I43&gt;=2.1,1,
IF(I43&lt;=1,0,
ROUND(IF(I43&lt;=1.7,I43^2*'Reference Curves'!$U$589+I43*'Reference Curves'!$U$590+'Reference Curves'!$U$591,
I43*'Reference Curves'!$V$589+'Reference Curves'!$V$590),2))))))))</f>
        <v/>
      </c>
      <c r="K43" s="391"/>
      <c r="L43" s="391"/>
      <c r="N43" s="80"/>
      <c r="O43" s="80"/>
    </row>
    <row r="44" spans="1:15" ht="15.5" x14ac:dyDescent="0.35">
      <c r="A44" s="421"/>
      <c r="B44" s="405"/>
      <c r="C44" s="100" t="s">
        <v>72</v>
      </c>
      <c r="D44" s="113"/>
      <c r="E44" s="88"/>
      <c r="F44" s="115" t="str">
        <f>IF(E44="","",IF(OR(LEFT($C$11,1)="F",LEFT($C$11,1)="G",LEFT($C$11,1)="D"),"FALSE",
IF(LEFT($C$11,1)="A",
ROUND(IF(OR(E44&gt;=100,E44&lt;=0),0,IF(E44&lt;=54,E44*'Reference Curves'!$U$623+'Reference Curves'!$U$624,
IF(E44&gt;=62,E44*'Reference Curves'!$V$623+'Reference Curves'!$V$624,1))),2),IF(LEFT($C$11,1)="B",
ROUND(IF(OR(E44&gt;=100,E44&lt;=0),0,IF(E44&lt;=53,E44*'Reference Curves'!$U$657+'Reference Curves'!$U$658,
IF(E44&gt;=61,E44*'Reference Curves'!$V$657+'Reference Curves'!$V$658,1))),2),
IF(LEFT($C$11,1)="C",
ROUND(IF(OR(E44&gt;=100,E44&lt;=0),0,
IF(E44&lt;45,E44*'Reference Curves'!$U$692+'Reference Curves'!$U$693,
IF(E44&gt;=64,E44*'Reference Curves'!$V$692+'Reference Curves'!$V$693,1))),2),
IF(LEFT($C$11,1)="E",
ROUND(IF(OR(E44&gt;=100,E44&lt;=0),0,
IF(E44&lt;43,E44*'Reference Curves'!$U$726+'Reference Curves'!$U$727,
IF(E44&gt;=63,E44*'Reference Curves'!$V$726+'Reference Curves'!$V$727,1))),2),))))))</f>
        <v/>
      </c>
      <c r="G44" s="392"/>
      <c r="H44" s="391"/>
      <c r="I44" s="88"/>
      <c r="J44" s="115" t="str">
        <f>IF(I44="","",IF(OR(LEFT($C$11,1)="F",LEFT($C$11,1)="G",LEFT($C$11,1)="D"),"FALSE",
IF(LEFT($C$11,1)="A",
ROUND(IF(OR(I44&gt;=100,I44&lt;=0),0,IF(I44&lt;=54,I44*'Reference Curves'!$U$623+'Reference Curves'!$U$624,
IF(I44&gt;=62,I44*'Reference Curves'!$V$623+'Reference Curves'!$V$624,1))),2),IF(LEFT($C$11,1)="B",
ROUND(IF(OR(I44&gt;=100,I44&lt;=0),0,IF(I44&lt;=53,I44*'Reference Curves'!$U$657+'Reference Curves'!$U$658,
IF(I44&gt;=61,I44*'Reference Curves'!$V$657+'Reference Curves'!$V$658,1))),2),
IF(LEFT($C$11,1)="C",
ROUND(IF(OR(I44&gt;=100,I44&lt;=0),0,
IF(I44&lt;45,I44*'Reference Curves'!$U$692+'Reference Curves'!$U$693,
IF(I44&gt;=64,I44*'Reference Curves'!$V$692+'Reference Curves'!$V$693,1))),2),
IF(LEFT($C$11,1)="E",
ROUND(IF(OR(I44&gt;=100,I44&lt;=0),0,
IF(I44&lt;43,I44*'Reference Curves'!$U$726+'Reference Curves'!$U$727,
IF(I44&gt;=63,I44*'Reference Curves'!$V$726+'Reference Curves'!$V$727,1))),2),))))))</f>
        <v/>
      </c>
      <c r="K44" s="392"/>
      <c r="L44" s="391"/>
      <c r="N44" s="80"/>
      <c r="O44" s="80"/>
    </row>
    <row r="45" spans="1:15" ht="15.5" x14ac:dyDescent="0.35">
      <c r="A45" s="421"/>
      <c r="B45" s="393" t="s">
        <v>140</v>
      </c>
      <c r="C45" s="109" t="s">
        <v>74</v>
      </c>
      <c r="D45" s="110"/>
      <c r="E45" s="111"/>
      <c r="F45" s="120" t="str">
        <f>IF(E45="","",
ROUND(IF(E45&gt;=35,0,
IF(E45&lt;=12,1,
IF(E45&lt;=20,E45*'Reference Curves'!U758+'Reference Curves'!U759,
IF(E45&lt;=25,E45*'Reference Curves'!V758+'Reference Curves'!V759,
E45*'Reference Curves'!W758+'Reference Curves'!W759)))),2))</f>
        <v/>
      </c>
      <c r="G45" s="390" t="str">
        <f>IFERROR(AVERAGE(F45:F49),"")</f>
        <v/>
      </c>
      <c r="H45" s="391"/>
      <c r="I45" s="111"/>
      <c r="J45" s="120" t="str">
        <f>IF(E45="","",
ROUND(IF(E45&gt;=35,0,
IF(I45&lt;=12,1,
IF(I45&lt;=20,I45*'Reference Curves'!U758+'Reference Curves'!U759,
IF(I45&lt;=25,I45*'Reference Curves'!V758+'Reference Curves'!V759,
I45*'Reference Curves'!W758+'Reference Curves'!W759)))),2))</f>
        <v/>
      </c>
      <c r="K45" s="390" t="str">
        <f>IFERROR(AVERAGE(J45:J49),"")</f>
        <v/>
      </c>
      <c r="L45" s="391"/>
      <c r="N45" s="80"/>
      <c r="O45" s="80"/>
    </row>
    <row r="46" spans="1:15" ht="15.5" x14ac:dyDescent="0.35">
      <c r="A46" s="421"/>
      <c r="B46" s="394"/>
      <c r="C46" s="100" t="s">
        <v>75</v>
      </c>
      <c r="D46" s="100"/>
      <c r="E46" s="88"/>
      <c r="F46" s="115" t="str">
        <f xml:space="preserve"> IF(E46="","",IF(E46&lt;=15,1,     ROUND(IF(E46&lt;=20,'Reference Curves'!$U$789*E46+'Reference Curves'!$U$790,IF(E46&gt;25,'Reference Curves'!$V$789*E46+'Reference Curves'!$V$790,'Reference Curves'!W758*E46+'Reference Curves'!W759)),2)))</f>
        <v/>
      </c>
      <c r="G46" s="391"/>
      <c r="H46" s="391"/>
      <c r="I46" s="88"/>
      <c r="J46" s="115" t="str">
        <f xml:space="preserve"> IF(I46="","",IF(I46&lt;=15,1,     ROUND(IF(I46&lt;=20,'Reference Curves'!$U$789*I46+'Reference Curves'!$U$790,'Reference Curves'!$V$789*I46+'Reference Curves'!$V$790),2)))</f>
        <v/>
      </c>
      <c r="K46" s="391"/>
      <c r="L46" s="391"/>
      <c r="N46" s="80"/>
      <c r="O46" s="80"/>
    </row>
    <row r="47" spans="1:15" ht="15.5" x14ac:dyDescent="0.35">
      <c r="A47" s="421"/>
      <c r="B47" s="394"/>
      <c r="C47" s="100" t="s">
        <v>76</v>
      </c>
      <c r="D47" s="100"/>
      <c r="E47" s="88"/>
      <c r="F47" s="115" t="str">
        <f>IF(E47="","",IF(E47&lt;=20,0,IF(E47&gt;=125,1,ROUND(IF(E47&gt;=60,'Reference Curves'!$U$888*E47+'Reference Curves'!$U$889,'Reference Curves'!$V$888*E47+'Reference Curves'!$V$889),2))))</f>
        <v/>
      </c>
      <c r="G47" s="391"/>
      <c r="H47" s="391"/>
      <c r="I47" s="88"/>
      <c r="J47" s="115" t="str">
        <f>IF(I47="","",IF(I47&lt;=20,0,IF(I47&gt;=125,1,ROUND(IF(I47&gt;=60,'Reference Curves'!$U$888*I47+'Reference Curves'!$U$889,'Reference Curves'!$V$888*I47+'Reference Curves'!$V$889),2))))</f>
        <v/>
      </c>
      <c r="K47" s="391"/>
      <c r="L47" s="391"/>
      <c r="N47" s="80"/>
      <c r="O47" s="80"/>
    </row>
    <row r="48" spans="1:15" ht="15.5" x14ac:dyDescent="0.35">
      <c r="A48" s="421"/>
      <c r="B48" s="394"/>
      <c r="C48" s="104" t="s">
        <v>77</v>
      </c>
      <c r="D48" s="113"/>
      <c r="E48" s="114"/>
      <c r="F48" s="115" t="str">
        <f xml:space="preserve"> IF(E48="","",IF(E48&lt;=1,0,IF(E48&gt;=30,1,ROUND('Reference Curves'!$U$822*E48-'Reference Curves'!$U$823,2))))</f>
        <v/>
      </c>
      <c r="G48" s="391"/>
      <c r="H48" s="391"/>
      <c r="I48" s="114"/>
      <c r="J48" s="115" t="str">
        <f xml:space="preserve"> IF(I48="","",IF(I48&lt;=1,0,IF(I48&gt;=30,1,ROUND('Reference Curves'!$U$822*I48-'Reference Curves'!$U$823,2))))</f>
        <v/>
      </c>
      <c r="K48" s="391"/>
      <c r="L48" s="103"/>
      <c r="N48" s="80"/>
      <c r="O48" s="80"/>
    </row>
    <row r="49" spans="1:15" ht="15.5" x14ac:dyDescent="0.35">
      <c r="A49" s="422"/>
      <c r="B49" s="395"/>
      <c r="C49" s="121" t="s">
        <v>78</v>
      </c>
      <c r="D49" s="122"/>
      <c r="E49" s="123"/>
      <c r="F49" s="124" t="str">
        <f xml:space="preserve"> IF(E49="","",IF(E49&lt;=1,0,IF(E49&gt;=14,1,ROUND('Reference Curves'!$U$855*E49-'Reference Curves'!$U$856,2))))</f>
        <v/>
      </c>
      <c r="G49" s="392"/>
      <c r="H49" s="391"/>
      <c r="I49" s="123"/>
      <c r="J49" s="124" t="str">
        <f xml:space="preserve"> IF(I49="","",IF(I49&lt;=1,0,IF(I49&gt;=14,1,ROUND('Reference Curves'!$U$855*I49-'Reference Curves'!$U$856,2))))</f>
        <v/>
      </c>
      <c r="K49" s="392"/>
      <c r="L49" s="103"/>
      <c r="N49" s="80"/>
      <c r="O49" s="80"/>
    </row>
    <row r="50" spans="1:15" ht="15.5" x14ac:dyDescent="0.35">
      <c r="A50" s="417" t="s">
        <v>79</v>
      </c>
      <c r="B50" s="125" t="s">
        <v>80</v>
      </c>
      <c r="C50" s="126" t="s">
        <v>81</v>
      </c>
      <c r="D50" s="126"/>
      <c r="E50" s="95"/>
      <c r="F50" s="127" t="str">
        <f>IF(E50="","",IF($C$19="Coldwater",IF(E50&gt;=77,0,IF(E50&lt;58.1,1,ROUND(E50*'Reference Curves'!$AD$16+'Reference Curves'!$AD$17,2))),IF($C$19="Coolwater",IF(E50&gt;97,0,IF(E50&lt;67,1,ROUND(E50*'Reference Curves'!$AE$16+'Reference Curves'!$AE$17,2))))))</f>
        <v/>
      </c>
      <c r="G50" s="128" t="str">
        <f>IFERROR(AVERAGE(F50),"")</f>
        <v/>
      </c>
      <c r="H50" s="419" t="str">
        <f>IFERROR(ROUND(AVERAGE(G50:G52),2),"")</f>
        <v/>
      </c>
      <c r="I50" s="95"/>
      <c r="J50" s="127" t="str">
        <f>IF(I50="","",IF($C$19="Coldwater",IF(I50&gt;=77,0,IF(I50&lt;58.1,1,ROUND(I50*'Reference Curves'!$AD$16+'Reference Curves'!$AD$17,2))),IF($C$19="Coolwater",IF(I50&gt;97,0,IF(I50&lt;67,1,ROUND(I50*'Reference Curves'!$AE$16+'Reference Curves'!$AE$17,2))))))</f>
        <v/>
      </c>
      <c r="K50" s="128" t="str">
        <f>IFERROR(AVERAGE(J50),"")</f>
        <v/>
      </c>
      <c r="L50" s="419" t="str">
        <f>IFERROR(ROUND(AVERAGE(K50:K52),2),"")</f>
        <v/>
      </c>
      <c r="N50" s="80"/>
      <c r="O50" s="80"/>
    </row>
    <row r="51" spans="1:15" ht="15.5" x14ac:dyDescent="0.35">
      <c r="A51" s="418"/>
      <c r="B51" s="125" t="s">
        <v>83</v>
      </c>
      <c r="C51" s="130" t="s">
        <v>84</v>
      </c>
      <c r="D51" s="130"/>
      <c r="E51" s="88"/>
      <c r="F51" s="131" t="str">
        <f>IF(E51="","",ROUND(IF(E51&gt;=268.98,0,IF(E51&lt;=39,1,E51*'Reference Curves'!$AD$49+'Reference Curves'!$AD$50)),2))</f>
        <v/>
      </c>
      <c r="G51" s="128" t="str">
        <f>IFERROR(AVERAGE(F51),"")</f>
        <v/>
      </c>
      <c r="H51" s="419"/>
      <c r="I51" s="88"/>
      <c r="J51" s="131" t="str">
        <f>IF(I51="","",ROUND(IF(I51&gt;=268.98,0,IF(I51&lt;=39,1,I51*'Reference Curves'!$AD$49+'Reference Curves'!$AD$50)),2))</f>
        <v/>
      </c>
      <c r="K51" s="128" t="str">
        <f>IFERROR(AVERAGE(J51),"")</f>
        <v/>
      </c>
      <c r="L51" s="419"/>
      <c r="O51" s="80"/>
    </row>
    <row r="52" spans="1:15" ht="15.5" x14ac:dyDescent="0.35">
      <c r="A52" s="418"/>
      <c r="B52" s="132" t="s">
        <v>85</v>
      </c>
      <c r="C52" s="126" t="s">
        <v>86</v>
      </c>
      <c r="D52" s="126"/>
      <c r="E52" s="95"/>
      <c r="F52" s="133" t="str">
        <f>IF(E52="","",IF($C$6 = "Mountains", IF($C$13 &lt;=5,
IF( $C$20= "Winter/Spring", ROUND(IF(E52&gt;=23,1,E52*'Reference Curves'!$AD$121+'Reference Curves'!$AD$122),2),
IF($C$20= "Summer", ROUND(IF(E52&gt;=21,1,E52*'Reference Curves'!$AE$121),2),
IF($C$20= "Fall", ROUND(IF(E52&gt;=18,1,E52*'Reference Curves'!$AF$121),2)))),
IF($C$13&lt;10, IF($C$20= "Winter/Spring", ROUND(IF(E52&gt;16,1,E52*'Reference Curves'!$AD$155),2),
IF($C$20= "Summer",ROUND(IF(E52&gt;14,1,E52*'Reference Curves'!$AE$155),2),
IF($C$20= "Fall",ROUND(IF(E52&gt;12,1,E52*'Reference Curves'!$AF$155),2)))),
IF($C$20= "Winter/Spring", ROUND(IF(E52&gt;14,1,E52*'Reference Curves'!$AD$189),2),
IF($C$20= "Summer",ROUND(IF(E52&gt;16,1,E52*'Reference Curves'!$AE$189),2),
IF($C$20= "Fall",ROUND(IF(E52&gt;15,1,E52*'Reference Curves'!$AF$189),2)))))),
IF($C$6 = "Piedmont",  IF($C$13 &lt;=5,
IF( $C$20= "Winter/Spring", ROUND(IF(E52&gt;=18,1,E52*'Reference Curves'!$AD$223),2),
IF($C$20= "Summer", ROUND(IF(E52&gt;=12,1,E52*'Reference Curves'!$AE$223),2),
IF($C$20= "Fall", ROUND(IF(E52&gt;=14,1,E52*'Reference Curves'!$AF$223),2)))),
IF($C$13&lt;10, IF($C$20= "Winter/Spring", ROUND(IF(E52&gt;12,1,E52*'Reference Curves'!$AD$259),2),
IF($C$20= "Summer",ROUND(IF(E52&gt;5,1,E52*'Reference Curves'!$AE$259),2),
IF($C$20= "Fall",ROUND(IF(E52&gt;8,1,E52*'Reference Curves'!$AF$259),2)))),
IF($C$20= "Winter/Spring", ROUND(IF(E52&gt;8,1,E52*'Reference Curves'!$AD$293),2),
IF($C$20= "Summer",ROUND(IF(E52&gt;7,1,E52*'Reference Curves'!$AE$293),2),
 IF($C$20= "Fall",ROUND(IF(E52&gt;8,1,E52*'Reference Curves'!$AF$293),2)))))),
IF($C$6 = "Coastal Plain", IF($C$13 &lt;=5,
IF( $C$20= "Winter/Spring", ROUND(IF(E52&gt;=33,1,E52*'Reference Curves'!$AD$325),2),
IF($C$20= "Summer", ROUND(IF(E52&gt;=14,1,E52*'Reference Curves'!$AE$325),2),
IF($C$20= "Fall", ROUND(IF(E52&gt;=25,1,E52*'Reference Curves'!$AF$325),2)))),
IF($C$13&lt;10, IF($C$20= "Winter/Spring", ROUND(IF(E52&gt;20,1,E52*'Reference Curves'!$AD$357),2),
IF($C$20= "Summer",ROUND(IF(E52&gt;13,1,E52*'Reference Curves'!$AE$357),2),
IF($C$20= "Fall",ROUND(IF(E52&gt;12,1,E52*'Reference Curves'!$AF$357),2)))),
IF($C$20= "Winter/Spring", ROUND(IF(E52&gt;17,1,E52*'Reference Curves'!$AD$391),2),
IF($C$20= "Summer",ROUND(IF(E52&gt;16,1,E52*'Reference Curves'!$AE$391),2),
IF($C$20= "Fall",ROUND(IF(E52&gt;8,1,E52*'Reference Curves'!$AF$391),2))))))))))</f>
        <v/>
      </c>
      <c r="G52" s="129"/>
      <c r="H52" s="419"/>
      <c r="I52" s="95"/>
      <c r="J52" s="133" t="str">
        <f>IF(I52="","",IF($C$6 = "Mountains", IF($C$13 &lt;=5,
IF( $C$20= "Winter/Spring", ROUND(IF(I52&gt;=23,1,I52*'Reference Curves'!$AD$121+'Reference Curves'!$AD$122),2),
IF($C$20= "Summer", ROUND(IF(I52&gt;=21,1,I52*'Reference Curves'!$AE$121),2),
IF($C$20= "Fall", ROUND(IF(I52&gt;=18,1,I52*'Reference Curves'!$AF$121),2)))),
IF($C$13&lt;10, IF($C$20= "Winter/Spring", ROUND(IF(I52&gt;16,1,I52*'Reference Curves'!$AD$155),2),
IF($C$20= "Summer",ROUND(IF(I52&gt;14,1,I52*'Reference Curves'!$AE$155),2),
IF($C$20= "Fall",ROUND(IF(I52&gt;12,1,I52*'Reference Curves'!$AF$155),2)))),
IF($C$20= "Winter/Spring", ROUND(IF(I52&gt;14,1,I52*'Reference Curves'!$AD$189),2),
IF($C$20= "Summer",ROUND(IF(I52&gt;16,1,I52*'Reference Curves'!$AE$189),2),
IF($C$20= "Fall",ROUND(IF(I52&gt;15,1,I52*'Reference Curves'!$AF$189),2)))))),
IF($C$6 = "Piedmont",  IF($C$13 &lt;=5,
IF( $C$20= "Winter/Spring", ROUND(IF(I52&gt;=18,1,I52*'Reference Curves'!$AD$223),2),
IF($C$20= "Summer", ROUND(IF(I52&gt;=12,1,I52*'Reference Curves'!$AE$223),2),
IF($C$20= "Fall", ROUND(IF(I52&gt;=14,1,I52*'Reference Curves'!$AF$223),2)))),
IF($C$13&lt;10, IF($C$20= "Winter/Spring", ROUND(IF(I52&gt;12,1,I52*'Reference Curves'!$AD$259),2),
IF($C$20= "Summer",ROUND(IF(I52&gt;5,1,I52*'Reference Curves'!$AE$259),2),
IF($C$20= "Fall",ROUND(IF(I52&gt;8,1,I52*'Reference Curves'!$AF$259),2)))),
IF($C$20= "Winter/Spring", ROUND(IF(I52&gt;8,1,I52*'Reference Curves'!$AD$293),2),
IF($C$20= "Summer",ROUND(IF(I52&gt;7,1,I52*'Reference Curves'!$AE$293),2),
 IF($C$20= "Fall",ROUND(IF(I52&gt;8,1,I52*'Reference Curves'!$AF$293),2)))))),
IF($C$6 = "Coastal Plain", IF($C$13 &lt;=5,
IF( $C$20= "Winter/Spring", ROUND(IF(I52&gt;=33,1,I52*'Reference Curves'!$AD$325),2),
IF($C$20= "Summer", ROUND(IF(I52&gt;=14,1,I52*'Reference Curves'!$AE$325),2),
IF($C$20= "Fall", ROUND(IF(I52&gt;=25,1,I52*'Reference Curves'!$AF$325),2)))),
IF($C$13&lt;10, IF($C$20= "Winter/Spring", ROUND(IF(I52&gt;20,1,I52*'Reference Curves'!$AD$357),2),
IF($C$20= "Summer",ROUND(IF(I52&gt;13,1,I52*'Reference Curves'!$AE$357),2),
IF($C$20= "Fall",ROUND(IF(I52&gt;12,1,I52*'Reference Curves'!$AF$357),2)))),
IF($C$20= "Winter/Spring", ROUND(IF(I52&gt;17,1,I52*'Reference Curves'!$AD$391),2),
IF($C$20= "Summer",ROUND(IF(I52&gt;16,1,I52*'Reference Curves'!$AE$391),2),
IF($C$20= "Fall",ROUND(IF(I52&gt;8,1,I52*'Reference Curves'!$AF$391),2))))))))))</f>
        <v/>
      </c>
      <c r="K52" s="129"/>
      <c r="L52" s="419"/>
      <c r="O52" s="80"/>
    </row>
    <row r="53" spans="1:15" ht="15.5" x14ac:dyDescent="0.35">
      <c r="A53" s="414" t="s">
        <v>87</v>
      </c>
      <c r="B53" s="134" t="s">
        <v>417</v>
      </c>
      <c r="C53" s="282" t="s">
        <v>416</v>
      </c>
      <c r="D53" s="283"/>
      <c r="E53" s="95"/>
      <c r="F53" s="284" t="str">
        <f>IF(E53="","",(IF(E53&lt;=25,E53*'Reference Curves'!$AO$495+'Reference Curves'!$AO$496,IF(E53&gt;75,E53*'Reference Curves'!$AM$495+'Reference Curves'!$AM$496,E53*'Reference Curves'!$AN$495+'Reference Curves'!$AN$496))))</f>
        <v/>
      </c>
      <c r="G53" s="280" t="str">
        <f>F53</f>
        <v/>
      </c>
      <c r="H53" s="411" t="str">
        <f>IFERROR(ROUND(AVERAGE(G53:G55),2),"")</f>
        <v/>
      </c>
      <c r="I53" s="95"/>
      <c r="J53" s="284" t="str">
        <f>IF(I53="","",(IF(I53&lt;=25,I53*'Reference Curves'!$AO$495+'Reference Curves'!$AO$496,IF(I53&gt;75,I53*'Reference Curves'!$AM$495+'Reference Curves'!$AM$496,I53*'Reference Curves'!$AN$495+'Reference Curves'!$AN$496))))</f>
        <v/>
      </c>
      <c r="K53" s="280" t="str">
        <f>J53</f>
        <v/>
      </c>
      <c r="L53" s="411" t="str">
        <f>IFERROR(ROUND(AVERAGE(K53:K55),2),"")</f>
        <v/>
      </c>
      <c r="O53" s="80"/>
    </row>
    <row r="54" spans="1:15" ht="15.65" customHeight="1" x14ac:dyDescent="0.35">
      <c r="A54" s="415"/>
      <c r="B54" s="456" t="s">
        <v>88</v>
      </c>
      <c r="C54" s="429" t="s">
        <v>89</v>
      </c>
      <c r="D54" s="429"/>
      <c r="E54" s="527"/>
      <c r="F54" s="430" t="str">
        <f>IF(E54="Larva, Juvenile, or Subadult",1,IF(E54="Absent",0,IF(E54="&gt; 1 Adult",0.66,IF(E54="1 Adult",0.33,IF(E54="Eggs",0.66,"")))))</f>
        <v/>
      </c>
      <c r="G54" s="431" t="str">
        <f>IFERROR(AVERAGE(F54),"")</f>
        <v/>
      </c>
      <c r="H54" s="413"/>
      <c r="I54" s="527"/>
      <c r="J54" s="430" t="str">
        <f>IF(I54="Larva, Juvenile, or Subadult",1,IF(I54="Absent",0,IF(I54="&gt; 1 Adult",0.66,IF(I54="1 Adult",0.33,IF(I54="Eggs",0.66,"")))))</f>
        <v/>
      </c>
      <c r="K54" s="467" t="str">
        <f>IFERROR(AVERAGE(J54),"")</f>
        <v/>
      </c>
      <c r="L54" s="413"/>
    </row>
    <row r="55" spans="1:15" ht="15.65" customHeight="1" x14ac:dyDescent="0.35">
      <c r="A55" s="416"/>
      <c r="B55" s="456"/>
      <c r="C55" s="429"/>
      <c r="D55" s="429"/>
      <c r="E55" s="527"/>
      <c r="F55" s="430"/>
      <c r="G55" s="431"/>
      <c r="H55" s="412"/>
      <c r="I55" s="527"/>
      <c r="J55" s="430"/>
      <c r="K55" s="467"/>
      <c r="L55" s="412"/>
    </row>
    <row r="56" spans="1:15" x14ac:dyDescent="0.35">
      <c r="I56" s="4"/>
      <c r="J56" s="4"/>
      <c r="K56" s="4"/>
    </row>
    <row r="57" spans="1:15" ht="15" customHeight="1" x14ac:dyDescent="0.35"/>
    <row r="58" spans="1:15" ht="15" customHeight="1" x14ac:dyDescent="0.35"/>
    <row r="59" spans="1:15" ht="15" customHeight="1" x14ac:dyDescent="0.35"/>
    <row r="60" spans="1:15" ht="15" customHeight="1" x14ac:dyDescent="0.35"/>
    <row r="61" spans="1:15" ht="15" customHeight="1" x14ac:dyDescent="0.35"/>
    <row r="62" spans="1:15" ht="15" customHeight="1" x14ac:dyDescent="0.35"/>
    <row r="63" spans="1:15" ht="15" customHeight="1" x14ac:dyDescent="0.35"/>
    <row r="64" spans="1:15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</sheetData>
  <sheetProtection algorithmName="SHA-512" hashValue="rMJ563EtfqMB18+pIzLN5FgUDwqcd+v6ai6Z96KXYr4QieIC/Va+PXFLTSEPtNsfoTZoyd+7rsFAaw9Z+smkwQ==" saltValue="QdAZM90Kjw5Uk/VIk30lOQ==" spinCount="100000" sheet="1" objects="1" scenarios="1"/>
  <mergeCells count="95">
    <mergeCell ref="E17:G17"/>
    <mergeCell ref="E18:G18"/>
    <mergeCell ref="E21:G21"/>
    <mergeCell ref="E22:G22"/>
    <mergeCell ref="E19:G19"/>
    <mergeCell ref="E20:G20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L53:L55"/>
    <mergeCell ref="K54:K55"/>
    <mergeCell ref="A50:A52"/>
    <mergeCell ref="H50:H52"/>
    <mergeCell ref="L50:L52"/>
    <mergeCell ref="B54:B55"/>
    <mergeCell ref="C54:D55"/>
    <mergeCell ref="E54:E55"/>
    <mergeCell ref="F54:F55"/>
    <mergeCell ref="G54:G55"/>
    <mergeCell ref="I54:I55"/>
    <mergeCell ref="J54:J55"/>
    <mergeCell ref="A53:A55"/>
    <mergeCell ref="H53:H55"/>
    <mergeCell ref="A30:A49"/>
    <mergeCell ref="H30:H49"/>
    <mergeCell ref="L30:L47"/>
    <mergeCell ref="B34:B41"/>
    <mergeCell ref="G34:G41"/>
    <mergeCell ref="K34:K41"/>
    <mergeCell ref="B42:B44"/>
    <mergeCell ref="G42:G44"/>
    <mergeCell ref="K42:K44"/>
    <mergeCell ref="B45:B49"/>
    <mergeCell ref="G45:G49"/>
    <mergeCell ref="K45:K49"/>
    <mergeCell ref="B31:B33"/>
    <mergeCell ref="G31:G33"/>
    <mergeCell ref="K31:K33"/>
    <mergeCell ref="L28:L29"/>
    <mergeCell ref="A26:A27"/>
    <mergeCell ref="B26:B27"/>
    <mergeCell ref="G26:G27"/>
    <mergeCell ref="H26:H27"/>
    <mergeCell ref="K26:K27"/>
    <mergeCell ref="L26:L27"/>
    <mergeCell ref="A28:A29"/>
    <mergeCell ref="B28:B29"/>
    <mergeCell ref="G28:G29"/>
    <mergeCell ref="H28:H29"/>
    <mergeCell ref="K28:K29"/>
    <mergeCell ref="I24:L24"/>
    <mergeCell ref="A13:B13"/>
    <mergeCell ref="J13:O13"/>
    <mergeCell ref="A14:B14"/>
    <mergeCell ref="J14:O20"/>
    <mergeCell ref="A15:B15"/>
    <mergeCell ref="A16:B16"/>
    <mergeCell ref="A17:B17"/>
    <mergeCell ref="A18:B18"/>
    <mergeCell ref="A19:B19"/>
    <mergeCell ref="A20:B20"/>
    <mergeCell ref="A21:B21"/>
    <mergeCell ref="A24:A25"/>
    <mergeCell ref="B24:B25"/>
    <mergeCell ref="C24:D25"/>
    <mergeCell ref="E24:H24"/>
    <mergeCell ref="A12:B12"/>
    <mergeCell ref="A4:B4"/>
    <mergeCell ref="E4:I4"/>
    <mergeCell ref="K4:L4"/>
    <mergeCell ref="A5:B5"/>
    <mergeCell ref="E5:I6"/>
    <mergeCell ref="A6:B6"/>
    <mergeCell ref="J6:O7"/>
    <mergeCell ref="A7:B7"/>
    <mergeCell ref="E7:H7"/>
    <mergeCell ref="A8:B8"/>
    <mergeCell ref="J8:O11"/>
    <mergeCell ref="A9:B9"/>
    <mergeCell ref="A10:B10"/>
    <mergeCell ref="A11:B11"/>
    <mergeCell ref="A3:B3"/>
    <mergeCell ref="E3:I3"/>
    <mergeCell ref="K3:L3"/>
    <mergeCell ref="A1:C2"/>
    <mergeCell ref="E1:I1"/>
    <mergeCell ref="K1:L1"/>
    <mergeCell ref="E2:I2"/>
    <mergeCell ref="K2:L2"/>
  </mergeCells>
  <dataValidations count="10">
    <dataValidation type="decimal" allowBlank="1" showInputMessage="1" showErrorMessage="1" prompt="Measure if proposed canopy cover is anticipated to be less than 20% at project closeout." sqref="I40:I41 E40:E41" xr:uid="{821180F0-10CC-49B2-9A50-C7E73FC29D08}">
      <formula1>0</formula1>
      <formula2>5280</formula2>
    </dataValidation>
    <dataValidation allowBlank="1" showInputMessage="1" showErrorMessage="1" prompt="This metric should be used in combination with either Erosion Rate or Dominant BEHI/NBS." sqref="I33 E33" xr:uid="{87E5272C-14E2-4DAA-8286-2DB393F87F9C}"/>
    <dataValidation allowBlank="1" showInputMessage="1" showErrorMessage="1" prompt="The user can only input a value for either LWD Index OR # Pieces, not both." sqref="I30 E30" xr:uid="{65BBD383-0F1D-4754-B367-9CA92055B0B0}"/>
    <dataValidation type="decimal" allowBlank="1" showInputMessage="1" showErrorMessage="1" sqref="I34:I39 E34:E39" xr:uid="{ACBB5598-6751-41F0-A896-ED07FE33979B}">
      <formula1>0</formula1>
      <formula2>5280</formula2>
    </dataValidation>
    <dataValidation allowBlank="1" showErrorMessage="1" prompt="Select catchment conditon level from the completed catchment assessment form. " sqref="I26:I27 E26:E27" xr:uid="{1E467125-AF12-475F-81A1-05A887E257B8}"/>
    <dataValidation allowBlank="1" showErrorMessage="1" prompt="Leave field value blank if not a coldwater stream." sqref="I50 E50" xr:uid="{0086E36B-86B4-4D6E-B2FE-3B7B2ECEDE9F}"/>
    <dataValidation allowBlank="1" showInputMessage="1" showErrorMessage="1" prompt="The user can only input a value for either leaf litter processing rate or shredders for organic matter, not both. " sqref="E52:E53 I52:I53" xr:uid="{10F35878-AD41-4386-83B1-0D0346923BD8}"/>
    <dataValidation type="list" allowBlank="1" showInputMessage="1" showErrorMessage="1" sqref="C8:C9" xr:uid="{F2DDEE82-6776-47A8-8ACD-78A6CF599D2B}">
      <formula1>RiverBasins</formula1>
    </dataValidation>
    <dataValidation allowBlank="1" showErrorMessage="1" sqref="C13 C8:C9" xr:uid="{4E84CC00-0050-4BD9-BE8C-FCBF263B2F15}"/>
    <dataValidation type="list" allowBlank="1" showErrorMessage="1" sqref="C11" xr:uid="{2BB07888-EE8E-4E17-9F92-E5EE522EFF91}">
      <formula1>StreamType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491296F6-B259-4A96-A6AE-58BA59436FAA}">
          <x14:formula1>
            <xm:f>'Pull Down Notes'!$B$143:$B$147</xm:f>
          </x14:formula1>
          <xm:sqref>I54:I55 E54:E55</xm:sqref>
        </x14:dataValidation>
        <x14:dataValidation type="list" allowBlank="1" showInputMessage="1" showErrorMessage="1" xr:uid="{24C2B600-CF57-4973-8BD3-AF233141B87D}">
          <x14:formula1>
            <xm:f>'Pull Down Notes'!$B$35:$B$64</xm:f>
          </x14:formula1>
          <xm:sqref>I31 E31</xm:sqref>
        </x14:dataValidation>
        <x14:dataValidation type="list" allowBlank="1" showInputMessage="1" showErrorMessage="1" xr:uid="{5723580B-11E1-46C4-8500-B006E413B555}">
          <x14:formula1>
            <xm:f>'Pull Down Notes'!$B$119:$B$121</xm:f>
          </x14:formula1>
          <xm:sqref>C20</xm:sqref>
        </x14:dataValidation>
        <x14:dataValidation type="list" allowBlank="1" showInputMessage="1" showErrorMessage="1" xr:uid="{E439CD46-E2E3-47D1-9C70-46992F7232EE}">
          <x14:formula1>
            <xm:f>'Pull Down Notes'!$B$139:$B$140</xm:f>
          </x14:formula1>
          <xm:sqref>C18</xm:sqref>
        </x14:dataValidation>
        <x14:dataValidation type="list" allowBlank="1" showInputMessage="1" showErrorMessage="1" xr:uid="{9974527C-CF12-4FCB-A47D-5D138DFD0A19}">
          <x14:formula1>
            <xm:f>'Pull Down Notes'!$B$22:$B$27</xm:f>
          </x14:formula1>
          <xm:sqref>C16</xm:sqref>
        </x14:dataValidation>
        <x14:dataValidation type="list" allowBlank="1" showInputMessage="1" showErrorMessage="1" xr:uid="{DC7B1791-F627-4678-AD4F-898F745E103A}">
          <x14:formula1>
            <xm:f>'Pull Down Notes'!$B$129:$B$132</xm:f>
          </x14:formula1>
          <xm:sqref>C14</xm:sqref>
        </x14:dataValidation>
        <x14:dataValidation type="list" allowBlank="1" showInputMessage="1" showErrorMessage="1" xr:uid="{5CB78867-8CC3-418B-966A-2CB63FC45E83}">
          <x14:formula1>
            <xm:f>'Pull Down Notes'!$B$124:$B$126</xm:f>
          </x14:formula1>
          <xm:sqref>C12</xm:sqref>
        </x14:dataValidation>
        <x14:dataValidation type="list" allowBlank="1" showInputMessage="1" showErrorMessage="1" xr:uid="{1E108B68-C743-4387-AC06-DB2E789E0504}">
          <x14:formula1>
            <xm:f>'Pull Down Notes'!$B$2:$B$15</xm:f>
          </x14:formula1>
          <xm:sqref>C10:C11</xm:sqref>
        </x14:dataValidation>
        <x14:dataValidation type="list" allowBlank="1" showErrorMessage="1" xr:uid="{9C353173-48DE-485B-9C2F-C2E4F696DC48}">
          <x14:formula1>
            <xm:f>'Pull Down Notes'!$B$67:$B$68</xm:f>
          </x14:formula1>
          <xm:sqref>C5</xm:sqref>
        </x14:dataValidation>
        <x14:dataValidation type="list" allowBlank="1" showErrorMessage="1" xr:uid="{43BA4B0D-756D-4072-998F-4B8FAAA6DD34}">
          <x14:formula1>
            <xm:f>'Pull Down Notes'!$B$30:$B$32</xm:f>
          </x14:formula1>
          <xm:sqref>C15</xm:sqref>
        </x14:dataValidation>
        <x14:dataValidation type="list" allowBlank="1" showErrorMessage="1" xr:uid="{CC6A7097-540B-4DF1-952D-5F1D4BD779CC}">
          <x14:formula1>
            <xm:f>'Pull Down Notes'!$B$2:$B$15</xm:f>
          </x14:formula1>
          <xm:sqref>C10:C11</xm:sqref>
        </x14:dataValidation>
        <x14:dataValidation type="list" allowBlank="1" showErrorMessage="1" prompt="If coldwater stream enter stream temperature in field value. If not a coldwater stream leave blank." xr:uid="{DBE93414-E072-4E32-958D-3C1055D864DE}">
          <x14:formula1>
            <xm:f>'Pull Down Notes'!$B$109:$B$111</xm:f>
          </x14:formula1>
          <xm:sqref>C19</xm:sqref>
        </x14:dataValidation>
        <x14:dataValidation type="list" allowBlank="1" showInputMessage="1" showErrorMessage="1" xr:uid="{1571F469-4DC7-431F-9611-CD55E246E21F}">
          <x14:formula1>
            <xm:f>'Pull Down Notes'!$B$135:$B$136</xm:f>
          </x14:formula1>
          <xm:sqref>C21</xm:sqref>
        </x14:dataValidation>
        <x14:dataValidation type="list" allowBlank="1" showErrorMessage="1" xr:uid="{6FF429A2-B4EC-441B-977F-4DA73B6C2680}">
          <x14:formula1>
            <xm:f>'Pull Down Notes'!$B$71:$B$76</xm:f>
          </x14:formula1>
          <xm:sqref>C6</xm:sqref>
        </x14:dataValidation>
        <x14:dataValidation type="list" allowBlank="1" showErrorMessage="1" xr:uid="{22531DF2-A220-4650-9C85-AA1FF7577F77}">
          <x14:formula1>
            <xm:f>'Pull Down Notes'!$B$97:$B$106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E68B-373E-444B-8E96-248DD25C1855}">
  <dimension ref="A1:O82"/>
  <sheetViews>
    <sheetView zoomScale="80" zoomScaleNormal="80" workbookViewId="0">
      <selection activeCell="E7" sqref="E7:H7"/>
    </sheetView>
  </sheetViews>
  <sheetFormatPr defaultRowHeight="14.5" x14ac:dyDescent="0.35"/>
  <cols>
    <col min="1" max="1" width="18.08984375" customWidth="1"/>
    <col min="2" max="2" width="24.453125" customWidth="1"/>
    <col min="3" max="3" width="19.81640625" customWidth="1"/>
    <col min="4" max="4" width="24.81640625" customWidth="1"/>
    <col min="5" max="15" width="14" customWidth="1"/>
  </cols>
  <sheetData>
    <row r="1" spans="1:15" ht="21" customHeight="1" x14ac:dyDescent="0.55000000000000004">
      <c r="A1" s="354" t="s">
        <v>90</v>
      </c>
      <c r="B1" s="486"/>
      <c r="C1" s="356"/>
      <c r="E1" s="377" t="s">
        <v>1</v>
      </c>
      <c r="F1" s="378"/>
      <c r="G1" s="378"/>
      <c r="H1" s="378"/>
      <c r="I1" s="379"/>
      <c r="K1" s="358" t="s">
        <v>91</v>
      </c>
      <c r="L1" s="358"/>
    </row>
    <row r="2" spans="1:15" ht="19.5" customHeight="1" x14ac:dyDescent="0.35">
      <c r="A2" s="487"/>
      <c r="B2" s="488"/>
      <c r="C2" s="489"/>
      <c r="E2" s="483" t="s">
        <v>92</v>
      </c>
      <c r="F2" s="484"/>
      <c r="G2" s="484"/>
      <c r="H2" s="484"/>
      <c r="I2" s="485"/>
      <c r="K2" s="481" t="s">
        <v>93</v>
      </c>
      <c r="L2" s="482"/>
    </row>
    <row r="3" spans="1:15" ht="18" customHeight="1" x14ac:dyDescent="0.35">
      <c r="A3" s="493" t="s">
        <v>11</v>
      </c>
      <c r="B3" s="494"/>
      <c r="C3" s="61"/>
      <c r="E3" s="490" t="s">
        <v>5</v>
      </c>
      <c r="F3" s="491"/>
      <c r="G3" s="491"/>
      <c r="H3" s="491"/>
      <c r="I3" s="492"/>
      <c r="K3" s="364" t="s">
        <v>94</v>
      </c>
      <c r="L3" s="365"/>
    </row>
    <row r="4" spans="1:15" ht="21.65" customHeight="1" x14ac:dyDescent="0.35">
      <c r="A4" s="493" t="s">
        <v>95</v>
      </c>
      <c r="B4" s="494"/>
      <c r="C4" s="62"/>
      <c r="E4" s="499" t="s">
        <v>6</v>
      </c>
      <c r="F4" s="500"/>
      <c r="G4" s="500"/>
      <c r="H4" s="500"/>
      <c r="I4" s="501"/>
      <c r="K4" s="497" t="s">
        <v>96</v>
      </c>
      <c r="L4" s="498"/>
    </row>
    <row r="5" spans="1:15" ht="15.75" customHeight="1" x14ac:dyDescent="0.35">
      <c r="A5" s="493" t="s">
        <v>97</v>
      </c>
      <c r="B5" s="494"/>
      <c r="C5" s="63"/>
      <c r="E5" s="461" t="s">
        <v>430</v>
      </c>
      <c r="F5" s="462"/>
      <c r="G5" s="462"/>
      <c r="H5" s="462"/>
      <c r="I5" s="463"/>
    </row>
    <row r="6" spans="1:15" ht="15.5" customHeight="1" x14ac:dyDescent="0.35">
      <c r="A6" s="493" t="s">
        <v>98</v>
      </c>
      <c r="B6" s="494"/>
      <c r="C6" s="61"/>
      <c r="E6" s="464"/>
      <c r="F6" s="465"/>
      <c r="G6" s="465"/>
      <c r="H6" s="465"/>
      <c r="I6" s="466"/>
      <c r="J6" s="496" t="s">
        <v>99</v>
      </c>
      <c r="K6" s="372"/>
      <c r="L6" s="372"/>
      <c r="M6" s="372"/>
      <c r="N6" s="372"/>
      <c r="O6" s="373"/>
    </row>
    <row r="7" spans="1:15" ht="21" x14ac:dyDescent="0.5">
      <c r="A7" s="493" t="s">
        <v>15</v>
      </c>
      <c r="B7" s="494"/>
      <c r="C7" s="61"/>
      <c r="E7" s="377" t="s">
        <v>100</v>
      </c>
      <c r="F7" s="378"/>
      <c r="G7" s="378"/>
      <c r="H7" s="379"/>
      <c r="I7" s="5"/>
      <c r="J7" s="374"/>
      <c r="K7" s="375"/>
      <c r="L7" s="375"/>
      <c r="M7" s="375"/>
      <c r="N7" s="375"/>
      <c r="O7" s="376"/>
    </row>
    <row r="8" spans="1:15" ht="15.5" x14ac:dyDescent="0.35">
      <c r="A8" s="493" t="s">
        <v>159</v>
      </c>
      <c r="B8" s="494"/>
      <c r="C8" s="62"/>
      <c r="E8" s="499" t="s">
        <v>160</v>
      </c>
      <c r="F8" s="500"/>
      <c r="G8" s="501"/>
      <c r="H8" s="64" t="str">
        <f>IFERROR(ROUND(Quantification_Tool!C141,2),"")</f>
        <v/>
      </c>
      <c r="J8" s="315"/>
      <c r="K8" s="316"/>
      <c r="L8" s="316"/>
      <c r="M8" s="316"/>
      <c r="N8" s="316"/>
      <c r="O8" s="317"/>
    </row>
    <row r="9" spans="1:15" ht="15.5" x14ac:dyDescent="0.35">
      <c r="A9" s="493" t="s">
        <v>161</v>
      </c>
      <c r="B9" s="494"/>
      <c r="C9" s="62"/>
      <c r="E9" s="499" t="s">
        <v>162</v>
      </c>
      <c r="F9" s="500"/>
      <c r="G9" s="501"/>
      <c r="H9" s="64" t="str">
        <f>IFERROR(ROUND(Quantification_Tool!F141,2),"")</f>
        <v/>
      </c>
      <c r="J9" s="366"/>
      <c r="K9" s="495"/>
      <c r="L9" s="495"/>
      <c r="M9" s="495"/>
      <c r="N9" s="495"/>
      <c r="O9" s="368"/>
    </row>
    <row r="10" spans="1:15" ht="15.5" x14ac:dyDescent="0.35">
      <c r="A10" s="493" t="s">
        <v>105</v>
      </c>
      <c r="B10" s="494"/>
      <c r="C10" s="63"/>
      <c r="E10" s="499" t="s">
        <v>106</v>
      </c>
      <c r="F10" s="500"/>
      <c r="G10" s="501"/>
      <c r="H10" s="65" t="str">
        <f>IFERROR(H9-H8,"")</f>
        <v/>
      </c>
      <c r="J10" s="366"/>
      <c r="K10" s="495"/>
      <c r="L10" s="495"/>
      <c r="M10" s="495"/>
      <c r="N10" s="495"/>
      <c r="O10" s="368"/>
    </row>
    <row r="11" spans="1:15" ht="15.5" x14ac:dyDescent="0.35">
      <c r="A11" s="493" t="s">
        <v>107</v>
      </c>
      <c r="B11" s="494"/>
      <c r="C11" s="63"/>
      <c r="E11" s="499" t="s">
        <v>108</v>
      </c>
      <c r="F11" s="500"/>
      <c r="G11" s="501"/>
      <c r="H11" s="66" t="str">
        <f>IFERROR(H10/H8,"")</f>
        <v/>
      </c>
      <c r="J11" s="318"/>
      <c r="K11" s="319"/>
      <c r="L11" s="319"/>
      <c r="M11" s="319"/>
      <c r="N11" s="319"/>
      <c r="O11" s="320"/>
    </row>
    <row r="12" spans="1:15" ht="15.5" x14ac:dyDescent="0.35">
      <c r="A12" s="493" t="s">
        <v>109</v>
      </c>
      <c r="B12" s="494"/>
      <c r="C12" s="63"/>
      <c r="E12" s="499" t="s">
        <v>163</v>
      </c>
      <c r="F12" s="500"/>
      <c r="G12" s="501"/>
      <c r="H12" s="67"/>
      <c r="J12" s="5"/>
      <c r="O12" s="13"/>
    </row>
    <row r="13" spans="1:15" ht="15.5" x14ac:dyDescent="0.35">
      <c r="A13" s="493" t="s">
        <v>111</v>
      </c>
      <c r="B13" s="494"/>
      <c r="C13" s="62"/>
      <c r="E13" s="499" t="s">
        <v>164</v>
      </c>
      <c r="F13" s="500"/>
      <c r="G13" s="501"/>
      <c r="H13" s="67"/>
      <c r="J13" s="294" t="s">
        <v>113</v>
      </c>
      <c r="K13" s="295"/>
      <c r="L13" s="295"/>
      <c r="M13" s="295"/>
      <c r="N13" s="295"/>
      <c r="O13" s="296"/>
    </row>
    <row r="14" spans="1:15" ht="15.5" x14ac:dyDescent="0.35">
      <c r="A14" s="493" t="s">
        <v>114</v>
      </c>
      <c r="B14" s="494"/>
      <c r="C14" s="63"/>
      <c r="E14" s="499" t="s">
        <v>115</v>
      </c>
      <c r="F14" s="500"/>
      <c r="G14" s="501"/>
      <c r="H14" s="68">
        <f>IFERROR(H13-H12,"")</f>
        <v>0</v>
      </c>
      <c r="J14" s="315"/>
      <c r="K14" s="316"/>
      <c r="L14" s="316"/>
      <c r="M14" s="316"/>
      <c r="N14" s="316"/>
      <c r="O14" s="317"/>
    </row>
    <row r="15" spans="1:15" ht="15.5" x14ac:dyDescent="0.35">
      <c r="A15" s="493" t="s">
        <v>116</v>
      </c>
      <c r="B15" s="494"/>
      <c r="C15" s="63"/>
      <c r="E15" s="499" t="s">
        <v>165</v>
      </c>
      <c r="F15" s="500"/>
      <c r="G15" s="501"/>
      <c r="H15" s="69" t="str">
        <f>IF(OR(C8="",C9=""),"",ROUND(IFERROR(H8*H12,""),2))</f>
        <v/>
      </c>
      <c r="J15" s="366"/>
      <c r="K15" s="495"/>
      <c r="L15" s="495"/>
      <c r="M15" s="495"/>
      <c r="N15" s="495"/>
      <c r="O15" s="368"/>
    </row>
    <row r="16" spans="1:15" ht="15.5" x14ac:dyDescent="0.35">
      <c r="A16" s="493" t="s">
        <v>166</v>
      </c>
      <c r="B16" s="494"/>
      <c r="C16" s="63"/>
      <c r="E16" s="499" t="s">
        <v>167</v>
      </c>
      <c r="F16" s="500"/>
      <c r="G16" s="501"/>
      <c r="H16" s="69" t="str">
        <f>IF(OR(C8="",C9=""),"",ROUND(IFERROR(H13*H9,""),2))</f>
        <v/>
      </c>
      <c r="J16" s="366"/>
      <c r="K16" s="495"/>
      <c r="L16" s="495"/>
      <c r="M16" s="495"/>
      <c r="N16" s="495"/>
      <c r="O16" s="368"/>
    </row>
    <row r="17" spans="1:15" ht="15.5" x14ac:dyDescent="0.35">
      <c r="A17" s="493" t="s">
        <v>120</v>
      </c>
      <c r="B17" s="494"/>
      <c r="C17" s="62"/>
      <c r="E17" s="499" t="s">
        <v>168</v>
      </c>
      <c r="F17" s="500"/>
      <c r="G17" s="501"/>
      <c r="H17" s="70" t="str">
        <f>IF(OR(C8="",C9=""),"",_xlfn.CONCAT(H16-H15," ",LEFT(C15,1),IF(C14="First",1,IF(C14="Second",2,IF(C14="Third",3,IF(C14="Fourth or greater","4+"))))))</f>
        <v/>
      </c>
      <c r="J17" s="366"/>
      <c r="K17" s="495"/>
      <c r="L17" s="495"/>
      <c r="M17" s="495"/>
      <c r="N17" s="495"/>
      <c r="O17" s="368"/>
    </row>
    <row r="18" spans="1:15" ht="33.75" customHeight="1" x14ac:dyDescent="0.35">
      <c r="A18" s="502" t="s">
        <v>121</v>
      </c>
      <c r="B18" s="503"/>
      <c r="C18" s="63"/>
      <c r="E18" s="499" t="s">
        <v>122</v>
      </c>
      <c r="F18" s="500"/>
      <c r="G18" s="501"/>
      <c r="H18" s="71" t="str">
        <f>IFERROR((H16-H15)/H13,"")</f>
        <v/>
      </c>
      <c r="J18" s="366"/>
      <c r="K18" s="495"/>
      <c r="L18" s="495"/>
      <c r="M18" s="495"/>
      <c r="N18" s="495"/>
      <c r="O18" s="368"/>
    </row>
    <row r="19" spans="1:15" ht="15.5" x14ac:dyDescent="0.35">
      <c r="A19" s="493" t="s">
        <v>123</v>
      </c>
      <c r="B19" s="494"/>
      <c r="C19" s="63"/>
      <c r="E19" s="515" t="s">
        <v>169</v>
      </c>
      <c r="F19" s="516"/>
      <c r="G19" s="517"/>
      <c r="H19" s="72" t="str">
        <f>IF(H15="","",H15/C8)</f>
        <v/>
      </c>
      <c r="J19" s="366"/>
      <c r="K19" s="495"/>
      <c r="L19" s="495"/>
      <c r="M19" s="495"/>
      <c r="N19" s="495"/>
      <c r="O19" s="368"/>
    </row>
    <row r="20" spans="1:15" ht="15.5" customHeight="1" x14ac:dyDescent="0.35">
      <c r="A20" s="502" t="s">
        <v>125</v>
      </c>
      <c r="B20" s="503"/>
      <c r="C20" s="63"/>
      <c r="E20" s="515" t="s">
        <v>170</v>
      </c>
      <c r="F20" s="516"/>
      <c r="G20" s="517"/>
      <c r="H20" s="72" t="str">
        <f>IF(H16="","",H16/C9)</f>
        <v/>
      </c>
      <c r="J20" s="318"/>
      <c r="K20" s="319"/>
      <c r="L20" s="319"/>
      <c r="M20" s="319"/>
      <c r="N20" s="319"/>
      <c r="O20" s="320"/>
    </row>
    <row r="21" spans="1:15" ht="20.5" customHeight="1" x14ac:dyDescent="0.55000000000000004">
      <c r="A21" s="504" t="s">
        <v>127</v>
      </c>
      <c r="B21" s="505"/>
      <c r="C21" s="63"/>
      <c r="D21" s="73"/>
      <c r="E21" s="506" t="s">
        <v>422</v>
      </c>
      <c r="F21" s="507"/>
      <c r="G21" s="508"/>
      <c r="H21" s="479"/>
      <c r="I21" s="73"/>
      <c r="J21" s="73"/>
      <c r="K21" s="73"/>
    </row>
    <row r="22" spans="1:15" ht="20.5" customHeight="1" x14ac:dyDescent="0.55000000000000004">
      <c r="A22" s="477"/>
      <c r="B22" s="477"/>
      <c r="C22" s="478"/>
      <c r="D22" s="73"/>
      <c r="E22" s="509" t="s">
        <v>419</v>
      </c>
      <c r="F22" s="510"/>
      <c r="G22" s="511"/>
      <c r="H22" s="480" t="str">
        <f>IF(H21="","",1-((H21/H18)/H12))</f>
        <v/>
      </c>
      <c r="I22" s="73"/>
      <c r="J22" s="73"/>
      <c r="K22" s="73"/>
    </row>
    <row r="23" spans="1:15" x14ac:dyDescent="0.35">
      <c r="H23" s="4"/>
      <c r="I23" s="4"/>
      <c r="J23" s="4"/>
      <c r="K23" s="4"/>
      <c r="L23" s="4"/>
    </row>
    <row r="24" spans="1:15" ht="21" customHeight="1" x14ac:dyDescent="0.5">
      <c r="A24" s="381" t="s">
        <v>40</v>
      </c>
      <c r="B24" s="383" t="s">
        <v>41</v>
      </c>
      <c r="C24" s="384" t="s">
        <v>42</v>
      </c>
      <c r="D24" s="385"/>
      <c r="E24" s="377" t="s">
        <v>171</v>
      </c>
      <c r="F24" s="378"/>
      <c r="G24" s="378"/>
      <c r="H24" s="379"/>
      <c r="I24" s="377" t="s">
        <v>415</v>
      </c>
      <c r="J24" s="378"/>
      <c r="K24" s="378"/>
      <c r="L24" s="379"/>
    </row>
    <row r="25" spans="1:15" ht="15.5" x14ac:dyDescent="0.35">
      <c r="A25" s="382"/>
      <c r="B25" s="383"/>
      <c r="C25" s="386"/>
      <c r="D25" s="387"/>
      <c r="E25" s="74" t="s">
        <v>130</v>
      </c>
      <c r="F25" s="75" t="s">
        <v>131</v>
      </c>
      <c r="G25" s="74" t="s">
        <v>132</v>
      </c>
      <c r="H25" s="74" t="s">
        <v>133</v>
      </c>
      <c r="I25" s="74" t="s">
        <v>130</v>
      </c>
      <c r="J25" s="75" t="s">
        <v>131</v>
      </c>
      <c r="K25" s="74" t="s">
        <v>132</v>
      </c>
      <c r="L25" s="74" t="s">
        <v>133</v>
      </c>
    </row>
    <row r="26" spans="1:15" ht="15.5" x14ac:dyDescent="0.35">
      <c r="A26" s="396" t="s">
        <v>44</v>
      </c>
      <c r="B26" s="398" t="s">
        <v>45</v>
      </c>
      <c r="C26" s="76" t="s">
        <v>46</v>
      </c>
      <c r="D26" s="77"/>
      <c r="E26" s="78"/>
      <c r="F26" s="79" t="str">
        <f>IF(E26="","",IF(E26&lt;=55,1,(ROUND(IF(E26&lt;=68,'Reference Curves'!$E$15*E26+'Reference Curves'!$E$16,IF(E26&gt;75,'Reference Curves'!$C$15*E26+'Reference Curves'!$C$16,'Reference Curves'!$D$15*E26+'Reference Curves'!$D$16)),2))))</f>
        <v/>
      </c>
      <c r="G26" s="400" t="str">
        <f>IFERROR(AVERAGE(F26:F27),"")</f>
        <v/>
      </c>
      <c r="H26" s="400" t="str">
        <f>IFERROR(ROUND(AVERAGE(G26),2),"")</f>
        <v/>
      </c>
      <c r="I26" s="78"/>
      <c r="J26" s="79" t="str">
        <f>IF(I26="","",IF(I26&lt;=55,1,(ROUND(IF(I26&lt;=68,'Reference Curves'!$E$15*I26+'Reference Curves'!$E$16,IF(I26&gt;75,'Reference Curves'!$C$15*I26+'Reference Curves'!$C$16,'Reference Curves'!$D$15*I26+'Reference Curves'!$D$16)),2))))</f>
        <v/>
      </c>
      <c r="K26" s="400" t="str">
        <f>IFERROR(AVERAGE(J26:J27),"")</f>
        <v/>
      </c>
      <c r="L26" s="400" t="str">
        <f>IFERROR(ROUND(AVERAGE(K26),2),"")</f>
        <v/>
      </c>
      <c r="N26" s="80"/>
    </row>
    <row r="27" spans="1:15" ht="15.5" x14ac:dyDescent="0.35">
      <c r="A27" s="397"/>
      <c r="B27" s="399"/>
      <c r="C27" s="82" t="s">
        <v>48</v>
      </c>
      <c r="D27" s="83"/>
      <c r="E27" s="84"/>
      <c r="F27" s="85" t="str">
        <f>IF(E27="","",IF(E27&gt;=1,0,ROUND(IF(E27&lt;=0.6,'Reference Curves'!$C$50*E27+'Reference Curves'!$C$51,'Reference Curves'!$D$50*E27+'Reference Curves'!$D$51),2)))</f>
        <v/>
      </c>
      <c r="G27" s="401"/>
      <c r="H27" s="401"/>
      <c r="I27" s="84"/>
      <c r="J27" s="85" t="str">
        <f>IF(I27="","",IF(I27&gt;=1,0,ROUND(IF(I27&lt;=0.6,'Reference Curves'!$C$50*I27+'Reference Curves'!$C$51,'Reference Curves'!$D$50*I27+'Reference Curves'!$D$51),2)))</f>
        <v/>
      </c>
      <c r="K27" s="401"/>
      <c r="L27" s="401"/>
      <c r="N27" s="80"/>
      <c r="O27" s="80"/>
    </row>
    <row r="28" spans="1:15" ht="15.5" x14ac:dyDescent="0.35">
      <c r="A28" s="406" t="s">
        <v>49</v>
      </c>
      <c r="B28" s="408" t="s">
        <v>50</v>
      </c>
      <c r="C28" s="87" t="s">
        <v>51</v>
      </c>
      <c r="D28" s="87"/>
      <c r="E28" s="88"/>
      <c r="F28" s="89" t="str">
        <f>IF(E28="","",ROUND(IF(E28&gt;1.71,0,IF(E28&lt;=1,1,E28*'Reference Curves'!$L$14+'Reference Curves'!$L$15)),2))</f>
        <v/>
      </c>
      <c r="G28" s="389" t="str">
        <f>IFERROR(AVERAGE(F28:F29),"")</f>
        <v/>
      </c>
      <c r="H28" s="388" t="str">
        <f>IFERROR(ROUND(AVERAGE(G28:G29),2),"")</f>
        <v/>
      </c>
      <c r="I28" s="88"/>
      <c r="J28" s="89" t="str">
        <f>IF(I28="","",ROUND(IF(I28&gt;1.71,0,IF(I28&lt;=1,1,I28*'Reference Curves'!$L$14+'Reference Curves'!$L$15)),2))</f>
        <v/>
      </c>
      <c r="K28" s="389" t="str">
        <f>IFERROR(AVERAGE(J28:J29),"")</f>
        <v/>
      </c>
      <c r="L28" s="388" t="str">
        <f>IFERROR(ROUND(AVERAGE(K28:K29),2),"")</f>
        <v/>
      </c>
      <c r="N28" s="80"/>
      <c r="O28" s="80"/>
    </row>
    <row r="29" spans="1:15" ht="15.5" x14ac:dyDescent="0.35">
      <c r="A29" s="407"/>
      <c r="B29" s="409"/>
      <c r="C29" s="90" t="s">
        <v>52</v>
      </c>
      <c r="D29" s="90"/>
      <c r="E29" s="84"/>
      <c r="F29" s="276" t="str">
        <f>IF(E29="","",
IF(LEFT($C$11,1)="C",
ROUND(IF(E29&gt;=7.3,1,
IF(E29&lt;=1,0,
IF(E29&lt;=2.2, E29*'Reference Curves'!$L$49+'Reference Curves'!$L$50, E29*'Reference Curves'!$M$49+'Reference Curves'!$M$50))),2),
IF(LEFT($C$11,1)="B",
ROUND(IF(E29&gt;=2,1,
IF(E29&lt;=1,0,
IF(E29&lt;=1.4,E29*'Reference Curves'!$L$117+'Reference Curves'!$L$118,E29*'Reference Curves'!$M$117+'Reference Curves'!$M$118))),2),               IF(OR(LEFT($C$11,1)="E"), ROUND(IF(E29&gt;=10,1,
IF(E29&lt;=1,0,
IF(E29&lt;=2.2,  E29*'Reference Curves'!$L$82+'Reference Curves'!$L$83,
E29*'Reference Curves'!$M$82+'Reference Curves'!$M$83))),2)))))</f>
        <v/>
      </c>
      <c r="G29" s="410"/>
      <c r="H29" s="389"/>
      <c r="I29" s="84"/>
      <c r="J29" s="276" t="str">
        <f>IF(I29="","",
IF(LEFT($C$11,1)="C",
ROUND(IF(I29&gt;=7.3,1,
IF(I29&lt;=1,0,
IF(I29&lt;=2.2, I29*'Reference Curves'!$L$49+'Reference Curves'!$L$50, I29*'Reference Curves'!$M$49+'Reference Curves'!$M$50))),2),
IF(LEFT($C$11,1)="B",
ROUND(IF(I29&gt;=2,1,
IF(I29&lt;=1,0,
IF(I29&lt;=1.4,I29*'Reference Curves'!$L$117+'Reference Curves'!$L$118,I29*'Reference Curves'!$M$117+'Reference Curves'!$M$118))),2),               IF(OR(LEFT($C$11,1)="E"), ROUND(IF(I29&gt;=10,1,
IF(I29&lt;=1,0,
IF(I29&lt;=2.2,  I29*'Reference Curves'!$L$82+'Reference Curves'!$L$83,
I29*'Reference Curves'!$M$82+'Reference Curves'!$M$83))),2)))))</f>
        <v/>
      </c>
      <c r="K29" s="410"/>
      <c r="L29" s="389"/>
      <c r="N29" s="80"/>
      <c r="O29" s="80"/>
    </row>
    <row r="30" spans="1:15" ht="15.5" x14ac:dyDescent="0.35">
      <c r="A30" s="420" t="s">
        <v>54</v>
      </c>
      <c r="B30" s="92" t="s">
        <v>55</v>
      </c>
      <c r="C30" s="93" t="s">
        <v>56</v>
      </c>
      <c r="D30" s="94"/>
      <c r="E30" s="95"/>
      <c r="F30" s="96" t="str">
        <f>IF(E30="","",ROUND(IF(E30&gt;=731,1,IF(E30&lt;355,'Reference Curves'!$U$15*E30+'Reference Curves'!$U$16,'Reference Curves'!$V$15*E30+'Reference Curves'!$V$16)),2))</f>
        <v/>
      </c>
      <c r="G30" s="97" t="str">
        <f>IFERROR(AVERAGE(F30:F30),"")</f>
        <v/>
      </c>
      <c r="H30" s="390" t="str">
        <f>IFERROR(ROUND(AVERAGE(G30:G44),2),"")</f>
        <v/>
      </c>
      <c r="I30" s="95"/>
      <c r="J30" s="98" t="str">
        <f>IF(I30="","",ROUND(IF(I30&gt;=731,1,IF(I30&lt;355,'Reference Curves'!$U$15*I30+'Reference Curves'!$U$16,'Reference Curves'!$V$15*I30+'Reference Curves'!$V$16)),2))</f>
        <v/>
      </c>
      <c r="K30" s="99" t="str">
        <f>IFERROR(AVERAGE(J30:J30),"")</f>
        <v/>
      </c>
      <c r="L30" s="390" t="str">
        <f>IFERROR(ROUND(AVERAGE(K30:K44),2),"")</f>
        <v/>
      </c>
      <c r="N30" s="80"/>
      <c r="O30" s="80"/>
    </row>
    <row r="31" spans="1:15" ht="15.5" x14ac:dyDescent="0.35">
      <c r="A31" s="421"/>
      <c r="B31" s="405" t="s">
        <v>58</v>
      </c>
      <c r="C31" s="100" t="s">
        <v>59</v>
      </c>
      <c r="D31" s="100"/>
      <c r="E31" s="101"/>
      <c r="F31" s="102" t="str">
        <f>IF(E31="","",IF(OR(E31="Ex/VL",E31="VH/VL",E31="H/M",E31="H/L",E31="H/VL"),0.2, IF(OR(LEFT(E31,2)="Ex",E31="VH/Ex",E31="VH/VH", E31="VH/H"),0,IF(OR(E31="VH/M",E31="VH/L",E31="H/Ex", E31="H/VH", E31="H/H"),0.1, IF(OR(E31="M/Ex",E31="M/VH"),0.3, IF(E31="M/H",0.4, IF(E31="M/M",0.5, IF(OR(E31="M/L",E31="M/VL"),0.6, IF(E31="L/Ex",0.7, IF(OR(LEFT(E31,1)="L",LEFT(E31,2)="VL"),1))))))))))</f>
        <v/>
      </c>
      <c r="G31" s="390" t="str">
        <f>IFERROR(IF(E33&gt;=50,0,AVERAGE(F31:F33)),"")</f>
        <v/>
      </c>
      <c r="H31" s="391"/>
      <c r="I31" s="101"/>
      <c r="J31" s="102" t="str">
        <f>IF(I31="","",IF(OR(I31="Ex/VL",I31="VH/VL",I31="H/M",I31="H/L",I31="H/VL"),0.2, IF(OR(LEFT(I31,2)="Ex",I31="VH/Ex",I31="VH/VH", I31="VH/H"),0,IF(OR(I31="VH/M",I31="VH/L",I31="H/Ex", I31="H/VH", I31="H/H"),0.1, IF(OR(I31="M/Ex",I31="M/VH"),0.3, IF(I31="M/H",0.4, IF(I31="M/M",0.5, IF(OR(I31="M/L",I31="M/VL"),0.6, IF(I31="L/Ex",0.7, IF(OR(LEFT(I31,1)="L",LEFT(I31,2)="VL"),1))))))))))</f>
        <v/>
      </c>
      <c r="K31" s="435" t="str">
        <f>IFERROR(IF(I33&gt;=50,0,AVERAGE(J31:J33)),"")</f>
        <v/>
      </c>
      <c r="L31" s="391"/>
      <c r="N31" s="80"/>
      <c r="O31" s="80"/>
    </row>
    <row r="32" spans="1:15" ht="15.5" x14ac:dyDescent="0.35">
      <c r="A32" s="421"/>
      <c r="B32" s="405"/>
      <c r="C32" s="104" t="s">
        <v>60</v>
      </c>
      <c r="D32" s="100"/>
      <c r="E32" s="105"/>
      <c r="F32" s="102" t="str">
        <f>IF(E32="","",ROUND(IF(E32&gt;=50,0,IF(E32&lt;=5,1,IF(E32&gt;11,E32*'Reference Curves'!$U$117+'Reference Curves'!$U$118,E32*'Reference Curves'!$V$117+'Reference Curves'!$V$118))),2))</f>
        <v/>
      </c>
      <c r="G32" s="391"/>
      <c r="H32" s="391"/>
      <c r="I32" s="105"/>
      <c r="J32" s="102" t="str">
        <f>IF(I32="","",ROUND(IF(I32&gt;=50,0,IF(I32&lt;=5,1,IF(I32&gt;11,I32*'Reference Curves'!$U$117+'Reference Curves'!$U$118,I32*'Reference Curves'!$V$117+'Reference Curves'!$V$118))),2))</f>
        <v/>
      </c>
      <c r="K32" s="435"/>
      <c r="L32" s="391"/>
      <c r="N32" s="80"/>
      <c r="O32" s="80"/>
    </row>
    <row r="33" spans="1:15" ht="15.5" x14ac:dyDescent="0.35">
      <c r="A33" s="421"/>
      <c r="B33" s="434"/>
      <c r="C33" s="106" t="s">
        <v>61</v>
      </c>
      <c r="D33" s="106"/>
      <c r="E33" s="107"/>
      <c r="F33" s="108" t="str">
        <f>IF(E33="","",IF(E33=0,1,ROUND(IF(E33&gt;=30,0,E33*'Reference Curves'!$U$149+'Reference Curves'!$U$150),2)))</f>
        <v/>
      </c>
      <c r="G33" s="392"/>
      <c r="H33" s="391"/>
      <c r="I33" s="107"/>
      <c r="J33" s="108" t="str">
        <f>IF(I33="","",IF(I33=0,1,ROUND(IF(I33&gt;=30,0,I33*'Reference Curves'!$U$149+'Reference Curves'!$U$150),2)))</f>
        <v/>
      </c>
      <c r="K33" s="435"/>
      <c r="L33" s="391"/>
      <c r="N33" s="80"/>
      <c r="O33" s="80"/>
    </row>
    <row r="34" spans="1:15" ht="15.5" x14ac:dyDescent="0.35">
      <c r="A34" s="421"/>
      <c r="B34" s="402" t="s">
        <v>62</v>
      </c>
      <c r="C34" s="109" t="s">
        <v>134</v>
      </c>
      <c r="D34" s="110"/>
      <c r="E34" s="111"/>
      <c r="F34" s="112" t="str">
        <f>IF(E34="","",IF(E34=0,0,ROUND(IF(OR($C$12="Colluvial",$C$12="Confined alluvial"),IF(E34&gt;=50,1,IF(E34&lt;50,E34*'Reference Curves'!$V$183+'Reference Curves'!$V$184,E34*'Reference Curves'!$U$183+'Reference Curves'!$U$184)),IF($C$12="Unconfined Alluvial",IF(E34&gt;=100,1,IF(E34&gt;34,E34*'Reference Curves'!$V$217+'Reference Curves'!$V$218,E34*'Reference Curves'!$U$217+'Reference Curves'!$U$218)))),2)))</f>
        <v/>
      </c>
      <c r="G34" s="390" t="str">
        <f>IFERROR(AVERAGE(F34:F41),"")</f>
        <v/>
      </c>
      <c r="H34" s="391"/>
      <c r="I34" s="111"/>
      <c r="J34" s="112" t="str">
        <f>IF(I34="","",IF(I34=0,0,ROUND(IF(OR($C$12="Colluvial",$C$12="Confined alluvial"),IF(I34&gt;=50,1,IF(I34&lt;50,I34*'Reference Curves'!$V$183+'Reference Curves'!$V$184,I34*'Reference Curves'!$U$183+'Reference Curves'!$U$184)),IF($C$12="Unconfined Alluvial",IF(I34&gt;=100,1,IF(I34&lt;100,I34*'Reference Curves'!$V$217+'Reference Curves'!$V$218,I34*'Reference Curves'!$U$217+'Reference Curves'!$U$218)))),2)))</f>
        <v/>
      </c>
      <c r="K34" s="390" t="str">
        <f>IFERROR(AVERAGE(J34:J41),"")</f>
        <v/>
      </c>
      <c r="L34" s="391"/>
      <c r="N34" s="80"/>
      <c r="O34" s="80"/>
    </row>
    <row r="35" spans="1:15" ht="15.5" x14ac:dyDescent="0.35">
      <c r="A35" s="421"/>
      <c r="B35" s="403"/>
      <c r="C35" s="104" t="s">
        <v>135</v>
      </c>
      <c r="D35" s="113"/>
      <c r="E35" s="114"/>
      <c r="F35" s="112" t="str">
        <f>IF(E35="","",IF(E35=0,0,ROUND(IF(OR($C$12="Colluvial",$C$12="Confined alluvial"),IF(E35&gt;=50,1,IF(E35&lt;50,E35*'Reference Curves'!$V$183+'Reference Curves'!$V$184,E35*'Reference Curves'!$U$183+'Reference Curves'!$U$184)),IF($C$12="Unconfined Alluvial",IF(E35&gt;=100,1,IF(E35&gt;34,E35*'Reference Curves'!$V$217+'Reference Curves'!$V$218,E35*'Reference Curves'!$U$217+'Reference Curves'!$U$218)))),2)))</f>
        <v/>
      </c>
      <c r="G35" s="391"/>
      <c r="H35" s="391"/>
      <c r="I35" s="114"/>
      <c r="J35" s="112" t="str">
        <f>IF(I35="","",IF(I35=0,0,ROUND(IF(OR($C$12="Colluvial",$C$12="Confined alluvial"),IF(I35&gt;=50,1,IF(I35&lt;50,I35*'Reference Curves'!$V$183+'Reference Curves'!$V$184,I35*'Reference Curves'!$U$183+'Reference Curves'!$U$184)),IF($C$12="Unconfined Alluvial",IF(I35&gt;=100,1,IF(I35&lt;100,I35*'Reference Curves'!$V$217+'Reference Curves'!$V$218,I35*'Reference Curves'!$U$217+'Reference Curves'!$U$218)))),2)))</f>
        <v/>
      </c>
      <c r="K35" s="391"/>
      <c r="L35" s="391"/>
      <c r="N35" s="80"/>
      <c r="O35" s="80"/>
    </row>
    <row r="36" spans="1:15" ht="15.5" x14ac:dyDescent="0.35">
      <c r="A36" s="421"/>
      <c r="B36" s="403"/>
      <c r="C36" s="104" t="s">
        <v>136</v>
      </c>
      <c r="D36" s="113"/>
      <c r="E36" s="114"/>
      <c r="F36" s="115" t="str">
        <f>IF(E36="","",IF(E36&gt;=120,1,ROUND(IF(E36&gt;=55,'Reference Curves'!$U$956*E36+'Reference Curves'!$U$957,'Reference Curves'!$V$956*E36+'Reference Curves'!$V$957),2)))</f>
        <v/>
      </c>
      <c r="G36" s="391"/>
      <c r="H36" s="391"/>
      <c r="I36" s="114"/>
      <c r="J36" s="115" t="str">
        <f>IF(I36="","",IF(I36&gt;=120,1,ROUND(IF(I36&gt;=55,'Reference Curves'!$U$956*I36+'Reference Curves'!$U$957,'Reference Curves'!$V$956*I36+'Reference Curves'!$V$957),2)))</f>
        <v/>
      </c>
      <c r="K36" s="391"/>
      <c r="L36" s="391"/>
      <c r="N36" s="80"/>
      <c r="O36" s="80"/>
    </row>
    <row r="37" spans="1:15" ht="15.5" x14ac:dyDescent="0.35">
      <c r="A37" s="421"/>
      <c r="B37" s="403"/>
      <c r="C37" s="104" t="s">
        <v>137</v>
      </c>
      <c r="D37" s="113"/>
      <c r="E37" s="114"/>
      <c r="F37" s="115" t="str">
        <f>IF(E37="","",IF(E37&gt;=120,1,ROUND(IF(E37&gt;=55,'Reference Curves'!$U$956*E37+'Reference Curves'!$U$957,'Reference Curves'!$V$956*E37+'Reference Curves'!$V$957),2)))</f>
        <v/>
      </c>
      <c r="G37" s="391"/>
      <c r="H37" s="391"/>
      <c r="I37" s="114"/>
      <c r="J37" s="115" t="str">
        <f>IF(I37="","",IF(I37&gt;=120,1,ROUND(IF(I37&gt;=55,'Reference Curves'!$U$956*I37+'Reference Curves'!$U$957,'Reference Curves'!$V$956*I37+'Reference Curves'!$V$957),2)))</f>
        <v/>
      </c>
      <c r="K37" s="391"/>
      <c r="L37" s="391"/>
      <c r="N37" s="80"/>
      <c r="O37" s="80"/>
    </row>
    <row r="38" spans="1:15" ht="15.5" x14ac:dyDescent="0.35">
      <c r="A38" s="421"/>
      <c r="B38" s="403"/>
      <c r="C38" s="104" t="s">
        <v>146</v>
      </c>
      <c r="D38" s="113"/>
      <c r="E38" s="114"/>
      <c r="F38" s="112" t="str">
        <f>IF(E38="","",ROUND(IF(AND(E38&gt;=250,E38&lt;=330),1,IF(E38&gt;=366,0.5,IF(E38&lt;250,E38*'[1]Reference Curves'!$U$283+'[1]Reference Curves'!$U$284,E38*'[1]Reference Curves'!$V$283+'[1]Reference Curves'!$V$284))),2))</f>
        <v/>
      </c>
      <c r="G38" s="391"/>
      <c r="H38" s="391"/>
      <c r="I38" s="114"/>
      <c r="J38" s="112" t="str">
        <f>IF(I38="","",ROUND(IF(AND(I38&gt;=250,I38&lt;=330),1,IF(I38&gt;=366,0.5,IF(I38&lt;250,I38*'[1]Reference Curves'!$U$283+'[1]Reference Curves'!$U$284,I38*'[1]Reference Curves'!$V$283+'[1]Reference Curves'!$V$284))),2))</f>
        <v/>
      </c>
      <c r="K38" s="391"/>
      <c r="L38" s="391"/>
      <c r="N38" s="80"/>
      <c r="O38" s="80"/>
    </row>
    <row r="39" spans="1:15" ht="15.5" x14ac:dyDescent="0.35">
      <c r="A39" s="421"/>
      <c r="B39" s="403"/>
      <c r="C39" s="104" t="s">
        <v>147</v>
      </c>
      <c r="D39" s="113"/>
      <c r="E39" s="114"/>
      <c r="F39" s="112" t="str">
        <f>IF(E39="","",ROUND(IF(AND(E39&gt;=250,E39&lt;=330),1,IF(E39&gt;=366,0.5,IF(E39&lt;250,E39*'[1]Reference Curves'!$U$283+'[1]Reference Curves'!$U$284,E39*'[1]Reference Curves'!$V$283+'[1]Reference Curves'!$V$284))),2))</f>
        <v/>
      </c>
      <c r="G39" s="391"/>
      <c r="H39" s="391"/>
      <c r="I39" s="114"/>
      <c r="J39" s="112" t="str">
        <f>IF(I39="","",ROUND(IF(AND(I39&gt;=250,I39&lt;=330),1,IF(I39&gt;=366,0.5,IF(I39&lt;250,I39*'[1]Reference Curves'!$U$283+'[1]Reference Curves'!$U$284,I39*'[1]Reference Curves'!$V$283+'[1]Reference Curves'!$V$284))),2))</f>
        <v/>
      </c>
      <c r="K39" s="391"/>
      <c r="L39" s="391"/>
      <c r="N39" s="80"/>
      <c r="O39" s="80"/>
    </row>
    <row r="40" spans="1:15" ht="15.5" x14ac:dyDescent="0.35">
      <c r="A40" s="421"/>
      <c r="B40" s="403"/>
      <c r="C40" s="104" t="s">
        <v>138</v>
      </c>
      <c r="D40" s="113"/>
      <c r="E40" s="116"/>
      <c r="F40" s="112" t="str">
        <f>IF(E40="","",ROUND(IF(E40=0,1,IF(E40&gt;=50,0,'Reference Curves'!$U$318*E40+'Reference Curves'!$U$319)),2))</f>
        <v/>
      </c>
      <c r="G40" s="391"/>
      <c r="H40" s="391"/>
      <c r="I40" s="116"/>
      <c r="J40" s="112" t="str">
        <f>IF(I40="","",ROUND(IF(I40=0,1,IF(I40&gt;=50,0,'Reference Curves'!$U$318*I40+'Reference Curves'!$U$319)),2))</f>
        <v/>
      </c>
      <c r="K40" s="391"/>
      <c r="L40" s="391"/>
      <c r="N40" s="80"/>
      <c r="O40" s="80"/>
    </row>
    <row r="41" spans="1:15" x14ac:dyDescent="0.35">
      <c r="A41" s="421"/>
      <c r="B41" s="403"/>
      <c r="C41" s="104" t="s">
        <v>139</v>
      </c>
      <c r="D41" s="113"/>
      <c r="E41" s="116"/>
      <c r="F41" s="112" t="str">
        <f>IF(E41="","",ROUND(IF(E41=0,1,IF(E41&gt;=50,0,'Reference Curves'!$U$318*E41+'Reference Curves'!$U$319)),2))</f>
        <v/>
      </c>
      <c r="G41" s="391"/>
      <c r="H41" s="391"/>
      <c r="I41" s="116"/>
      <c r="J41" s="112" t="str">
        <f>IF(I41="","",ROUND(IF(I41=0,1,IF(I41&gt;=50,0,'Reference Curves'!$U$318*I41+'Reference Curves'!$U$319)),2))</f>
        <v/>
      </c>
      <c r="K41" s="391"/>
      <c r="L41" s="391"/>
      <c r="N41" s="80"/>
      <c r="O41" s="80"/>
    </row>
    <row r="42" spans="1:15" ht="15.5" x14ac:dyDescent="0.35">
      <c r="A42" s="421"/>
      <c r="B42" s="404" t="s">
        <v>69</v>
      </c>
      <c r="C42" s="118" t="s">
        <v>70</v>
      </c>
      <c r="D42" s="110"/>
      <c r="E42" s="78"/>
      <c r="F42" s="119" t="str">
        <f>IF(E42="","",IF($C$11="Bc", ROUND(IF(E42&lt;=5,1,IF(E42&gt;=8,0, E42^2*'Reference Curves'!$U$420+E42*'Reference Curves'!$U$421+'Reference Curves'!$U$422) ),2),
IF(LEFT($C$11,1)="B",ROUND(IF(E42&lt;=4,1,IF(E42&gt;=6.5,0, E42^2*'Reference Curves'!$U$388+E42*'Reference Curves'!$U$389+'Reference Curves'!$U$390) ),2),
IF(OR(LEFT($C$11,1)="E",LEFT($C$11,1)="C"),ROUND(IF(OR(E42&gt;=9,E42&lt;=1),0, IF(AND(E42&gt;=3.5,E42&lt;=6),1, IF(E42&lt;3.5,E42*'Reference Curves'!$U$454+'Reference Curves'!$U$455,E42*'Reference Curves'!$V$454+'Reference Curves'!$V$455 )) ),2)))  ))</f>
        <v/>
      </c>
      <c r="G42" s="390" t="str">
        <f>IFERROR(AVERAGE(F42:F44),"")</f>
        <v/>
      </c>
      <c r="H42" s="391"/>
      <c r="I42" s="78"/>
      <c r="J42" s="119" t="str">
        <f>IF(I42="","",IF($C$11="Bc", ROUND(IF(I42&lt;=5,1,IF(I42&gt;=8,0, I42^2*'Reference Curves'!$U$420+I42*'Reference Curves'!$U$421+'Reference Curves'!$U$422) ),2),
IF(LEFT($C$11,1)="B",ROUND(IF(I42&lt;=4,1,IF(I42&gt;=6.5,0, I42^2*'Reference Curves'!$U$388+I42*'Reference Curves'!$U$389+'Reference Curves'!$U$390) ),2),
IF(OR(LEFT($C$11,1)="E",LEFT($C$11,1)="C"),ROUND(IF(OR(I42&gt;=9,I42&lt;=1),0, IF(AND(I42&gt;=3.5,I42&lt;=6),1, IF(I42&lt;3.5,I42*'Reference Curves'!$U$454+'Reference Curves'!$U$455,I42*'Reference Curves'!$V$454+'Reference Curves'!$V$455 )) ),2)))  ))</f>
        <v/>
      </c>
      <c r="K42" s="390" t="str">
        <f>IFERROR(AVERAGE(J42:J44),"")</f>
        <v/>
      </c>
      <c r="L42" s="391"/>
      <c r="N42" s="80"/>
      <c r="O42" s="80"/>
    </row>
    <row r="43" spans="1:15" ht="15.5" x14ac:dyDescent="0.35">
      <c r="A43" s="421"/>
      <c r="B43" s="405"/>
      <c r="C43" s="100" t="s">
        <v>71</v>
      </c>
      <c r="D43" s="113"/>
      <c r="E43" s="88"/>
      <c r="F43" s="112" t="str">
        <f>IF(E43="","",IF(LEFT($C$11,1)="A",
IF(E43&gt;=1.7,1,
IF(E43&lt;=1,0,
ROUND(IF(E43&lt;=1.1,E43*'Reference Curves'!$U$489+'Reference Curves'!$U$490,
(IF(E43&gt;=1.4,E43*'Reference Curves'!$W$489+'Reference Curves'!$W$490,
E43*'Reference Curves'!$V$489+'Reference Curves'!$V$490))),2))),
IF(LEFT($C$11,1)="B",
IF(E43&gt;=2.9,1,
IF(E43&lt;=1,0,
ROUND(IF(E43&lt;=2,E43*'Reference Curves'!$U$522+'Reference Curves'!$U$523,
(IF(E43&gt;=2.3,E43*'Reference Curves'!$W$522+'Reference Curves'!$W$523,
E43*'Reference Curves'!$V$522+'Reference Curves'!$V$523))),2))),IF(LEFT($C$11,1)="C",
IF(E43&gt;=2.3,1,
IF(E43&lt;=1,0,
ROUND(IF(E43&lt;=1.2,E43*'Reference Curves'!$V$554+'Reference Curves'!$V$555,
(E43^2)*'Reference Curves'!$U$554+E43*'Reference Curves'!$U$555+'Reference Curves'!$U$556),2))),IF(LEFT($C$11,1)="E",IF(E43&gt;=2.1,1,
IF(E43&lt;=1,0,
ROUND(IF(E43&lt;=1.7,E43^2*'Reference Curves'!$U$589+E43*'Reference Curves'!$U$590+'Reference Curves'!$U$591,
E43*'Reference Curves'!$V$589+'Reference Curves'!$V$590),2))))))))</f>
        <v/>
      </c>
      <c r="G43" s="391"/>
      <c r="H43" s="391"/>
      <c r="I43" s="88"/>
      <c r="J43" s="112" t="str">
        <f>IF(I43="","",IF(LEFT($C$11,1)="A",
IF(I43&gt;=1.7,1,
IF(I43&lt;=1,0,
ROUND(IF(I43&lt;=1.1,I43*'Reference Curves'!$U$489+'Reference Curves'!$U$490,
(IF(I43&gt;=1.4,I43*'Reference Curves'!$W$489+'Reference Curves'!$W$490,
I43*'Reference Curves'!$V$489+'Reference Curves'!$V$490))),2))),
IF(LEFT($C$11,1)="B",
IF(I43&gt;=2.9,1,
IF(I43&lt;=1,0,
ROUND(IF(I43&lt;=2,I43*'Reference Curves'!$U$522+'Reference Curves'!$U$523,
(IF(I43&gt;=2.3,I43*'Reference Curves'!$W$522+'Reference Curves'!$W$523,
I43*'Reference Curves'!$V$522+'Reference Curves'!$V$523))),2))),IF(LEFT($C$11,1)="C",
IF(I43&gt;=2.3,1,
IF(I43&lt;=1,0,
ROUND(IF(I43&lt;=1.2,I43*'Reference Curves'!$V$554+'Reference Curves'!$V$555,
(I43^2)*'Reference Curves'!$U$554+I43*'Reference Curves'!$U$555+'Reference Curves'!$U$556),2))),IF(LEFT($C$11,1)="E",IF(I43&gt;=2.1,1,
IF(I43&lt;=1,0,
ROUND(IF(I43&lt;=1.7,I43^2*'Reference Curves'!$U$589+I43*'Reference Curves'!$U$590+'Reference Curves'!$U$591,
I43*'Reference Curves'!$V$589+'Reference Curves'!$V$590),2))))))))</f>
        <v/>
      </c>
      <c r="K43" s="391"/>
      <c r="L43" s="391"/>
      <c r="N43" s="80"/>
      <c r="O43" s="80"/>
    </row>
    <row r="44" spans="1:15" ht="15.5" x14ac:dyDescent="0.35">
      <c r="A44" s="421"/>
      <c r="B44" s="405"/>
      <c r="C44" s="100" t="s">
        <v>72</v>
      </c>
      <c r="D44" s="113"/>
      <c r="E44" s="88"/>
      <c r="F44" s="115" t="str">
        <f>IF(E44="","",IF(OR(LEFT($C$11,1)="F",LEFT($C$11,1)="G",LEFT($C$11,1)="D"),"FALSE",
IF(LEFT($C$11,1)="A",
ROUND(IF(OR(E44&gt;=100,E44&lt;=0),0,IF(E44&lt;=54,E44*'Reference Curves'!$U$623+'Reference Curves'!$U$624,
IF(E44&gt;=62,E44*'Reference Curves'!$V$623+'Reference Curves'!$V$624,1))),2),IF(LEFT($C$11,1)="B",
ROUND(IF(OR(E44&gt;=100,E44&lt;=0),0,IF(E44&lt;=53,E44*'Reference Curves'!$U$657+'Reference Curves'!$U$658,
IF(E44&gt;=61,E44*'Reference Curves'!$V$657+'Reference Curves'!$V$658,1))),2),
IF(LEFT($C$11,1)="C",
ROUND(IF(OR(E44&gt;=100,E44&lt;=0),0,
IF(E44&lt;45,E44*'Reference Curves'!$U$692+'Reference Curves'!$U$693,
IF(E44&gt;=64,E44*'Reference Curves'!$V$692+'Reference Curves'!$V$693,1))),2),
IF(LEFT($C$11,1)="E",
ROUND(IF(OR(E44&gt;=100,E44&lt;=0),0,
IF(E44&lt;43,E44*'Reference Curves'!$U$726+'Reference Curves'!$U$727,
IF(E44&gt;=63,E44*'Reference Curves'!$V$726+'Reference Curves'!$V$727,1))),2),))))))</f>
        <v/>
      </c>
      <c r="G44" s="392"/>
      <c r="H44" s="391"/>
      <c r="I44" s="88"/>
      <c r="J44" s="115" t="str">
        <f>IF(I44="","",IF(OR(LEFT($C$11,1)="F",LEFT($C$11,1)="G",LEFT($C$11,1)="D"),"FALSE",
IF(LEFT($C$11,1)="A",
ROUND(IF(OR(I44&gt;=100,I44&lt;=0),0,IF(I44&lt;=54,I44*'Reference Curves'!$U$623+'Reference Curves'!$U$624,
IF(I44&gt;=62,I44*'Reference Curves'!$V$623+'Reference Curves'!$V$624,1))),2),IF(LEFT($C$11,1)="B",
ROUND(IF(OR(I44&gt;=100,I44&lt;=0),0,IF(I44&lt;=53,I44*'Reference Curves'!$U$657+'Reference Curves'!$U$658,
IF(I44&gt;=61,I44*'Reference Curves'!$V$657+'Reference Curves'!$V$658,1))),2),
IF(LEFT($C$11,1)="C",
ROUND(IF(OR(I44&gt;=100,I44&lt;=0),0,
IF(I44&lt;45,I44*'Reference Curves'!$U$692+'Reference Curves'!$U$693,
IF(I44&gt;=64,I44*'Reference Curves'!$V$692+'Reference Curves'!$V$693,1))),2),
IF(LEFT($C$11,1)="E",
ROUND(IF(OR(I44&gt;=100,I44&lt;=0),0,
IF(I44&lt;43,I44*'Reference Curves'!$U$726+'Reference Curves'!$U$727,
IF(I44&gt;=63,I44*'Reference Curves'!$V$726+'Reference Curves'!$V$727,1))),2),))))))</f>
        <v/>
      </c>
      <c r="K44" s="392"/>
      <c r="L44" s="391"/>
      <c r="N44" s="80"/>
      <c r="O44" s="80"/>
    </row>
    <row r="45" spans="1:15" ht="15.5" x14ac:dyDescent="0.35">
      <c r="A45" s="421"/>
      <c r="B45" s="393" t="s">
        <v>140</v>
      </c>
      <c r="C45" s="109" t="s">
        <v>74</v>
      </c>
      <c r="D45" s="110"/>
      <c r="E45" s="111"/>
      <c r="F45" s="120" t="str">
        <f>IF(E45="","",
ROUND(IF(E45&gt;=35,0,
IF(E45&lt;=12,1,
IF(E45&lt;=20,E45*'Reference Curves'!U758+'Reference Curves'!U759,
IF(E45&lt;=25,E45*'Reference Curves'!V758+'Reference Curves'!V759,
E45*'Reference Curves'!W758+'Reference Curves'!W759)))),2))</f>
        <v/>
      </c>
      <c r="G45" s="390" t="str">
        <f>IFERROR(AVERAGE(F45:F49),"")</f>
        <v/>
      </c>
      <c r="H45" s="391"/>
      <c r="I45" s="111"/>
      <c r="J45" s="120" t="str">
        <f>IF(E45="","",
ROUND(IF(E45&gt;=35,0,
IF(I45&lt;=12,1,
IF(I45&lt;=20,I45*'Reference Curves'!U758+'Reference Curves'!U759,
IF(I45&lt;=25,I45*'Reference Curves'!V758+'Reference Curves'!V759,
I45*'Reference Curves'!W758+'Reference Curves'!W759)))),2))</f>
        <v/>
      </c>
      <c r="K45" s="390" t="str">
        <f>IFERROR(AVERAGE(J45:J49),"")</f>
        <v/>
      </c>
      <c r="L45" s="391"/>
      <c r="N45" s="80"/>
      <c r="O45" s="80"/>
    </row>
    <row r="46" spans="1:15" ht="15.5" x14ac:dyDescent="0.35">
      <c r="A46" s="421"/>
      <c r="B46" s="394"/>
      <c r="C46" s="100" t="s">
        <v>75</v>
      </c>
      <c r="D46" s="100"/>
      <c r="E46" s="88"/>
      <c r="F46" s="115" t="str">
        <f xml:space="preserve"> IF(E46="","",IF(E46&lt;=15,1,     ROUND(IF(E46&lt;=20,'Reference Curves'!$U$789*E46+'Reference Curves'!$U$790,IF(E46&gt;25,'Reference Curves'!$V$789*E46+'Reference Curves'!$V$790,'Reference Curves'!W758*E46+'Reference Curves'!W759)),2)))</f>
        <v/>
      </c>
      <c r="G46" s="391"/>
      <c r="H46" s="391"/>
      <c r="I46" s="88"/>
      <c r="J46" s="115" t="str">
        <f xml:space="preserve"> IF(I46="","",IF(I46&lt;=15,1,     ROUND(IF(I46&lt;=20,'Reference Curves'!$U$789*I46+'Reference Curves'!$U$790,'Reference Curves'!$V$789*I46+'Reference Curves'!$V$790),2)))</f>
        <v/>
      </c>
      <c r="K46" s="391"/>
      <c r="L46" s="391"/>
      <c r="N46" s="80"/>
      <c r="O46" s="80"/>
    </row>
    <row r="47" spans="1:15" ht="15.5" x14ac:dyDescent="0.35">
      <c r="A47" s="421"/>
      <c r="B47" s="394"/>
      <c r="C47" s="100" t="s">
        <v>76</v>
      </c>
      <c r="D47" s="100"/>
      <c r="E47" s="88"/>
      <c r="F47" s="115" t="str">
        <f>IF(E47="","",IF(E47&lt;=20,0,IF(E47&gt;=125,1,ROUND(IF(E47&gt;=60,'Reference Curves'!$U$888*E47+'Reference Curves'!$U$889,'Reference Curves'!$V$888*E47+'Reference Curves'!$V$889),2))))</f>
        <v/>
      </c>
      <c r="G47" s="391"/>
      <c r="H47" s="391"/>
      <c r="I47" s="88"/>
      <c r="J47" s="115" t="str">
        <f>IF(I47="","",IF(I47&lt;=20,0,IF(I47&gt;=125,1,ROUND(IF(I47&gt;=60,'Reference Curves'!$U$888*I47+'Reference Curves'!$U$889,'Reference Curves'!$V$888*I47+'Reference Curves'!$V$889),2))))</f>
        <v/>
      </c>
      <c r="K47" s="391"/>
      <c r="L47" s="391"/>
      <c r="N47" s="80"/>
      <c r="O47" s="80"/>
    </row>
    <row r="48" spans="1:15" ht="15.5" x14ac:dyDescent="0.35">
      <c r="A48" s="421"/>
      <c r="B48" s="394"/>
      <c r="C48" s="104" t="s">
        <v>77</v>
      </c>
      <c r="D48" s="113"/>
      <c r="E48" s="114"/>
      <c r="F48" s="115" t="str">
        <f xml:space="preserve"> IF(E48="","",IF(E48&lt;=1,0,IF(E48&gt;=30,1,ROUND('Reference Curves'!$U$822*E48-'Reference Curves'!$U$823,2))))</f>
        <v/>
      </c>
      <c r="G48" s="391"/>
      <c r="H48" s="391"/>
      <c r="I48" s="114"/>
      <c r="J48" s="115" t="str">
        <f xml:space="preserve"> IF(I48="","",IF(I48&lt;=1,0,IF(I48&gt;=30,1,ROUND('Reference Curves'!$U$822*I48-'Reference Curves'!$U$823,2))))</f>
        <v/>
      </c>
      <c r="K48" s="391"/>
      <c r="L48" s="103"/>
      <c r="N48" s="80"/>
      <c r="O48" s="80"/>
    </row>
    <row r="49" spans="1:15" ht="15.5" x14ac:dyDescent="0.35">
      <c r="A49" s="422"/>
      <c r="B49" s="395"/>
      <c r="C49" s="121" t="s">
        <v>78</v>
      </c>
      <c r="D49" s="122"/>
      <c r="E49" s="123"/>
      <c r="F49" s="124" t="str">
        <f xml:space="preserve"> IF(E49="","",IF(E49&lt;=1,0,IF(E49&gt;=14,1,ROUND('Reference Curves'!$U$855*E49-'Reference Curves'!$U$856,2))))</f>
        <v/>
      </c>
      <c r="G49" s="392"/>
      <c r="H49" s="391"/>
      <c r="I49" s="123"/>
      <c r="J49" s="124" t="str">
        <f xml:space="preserve"> IF(I49="","",IF(I49&lt;=1,0,IF(I49&gt;=14,1,ROUND('Reference Curves'!$U$855*I49-'Reference Curves'!$U$856,2))))</f>
        <v/>
      </c>
      <c r="K49" s="392"/>
      <c r="L49" s="103"/>
      <c r="N49" s="80"/>
      <c r="O49" s="80"/>
    </row>
    <row r="50" spans="1:15" ht="15.5" x14ac:dyDescent="0.35">
      <c r="A50" s="417" t="s">
        <v>79</v>
      </c>
      <c r="B50" s="125" t="s">
        <v>80</v>
      </c>
      <c r="C50" s="126" t="s">
        <v>81</v>
      </c>
      <c r="D50" s="126"/>
      <c r="E50" s="95"/>
      <c r="F50" s="127" t="str">
        <f>IF(E50="","",IF($C$19="Coldwater",IF(E50&gt;=77,0,IF(E50&lt;58.1,1,ROUND(E50*'Reference Curves'!$AD$16+'Reference Curves'!$AD$17,2))),IF($C$19="Coolwater",IF(E50&gt;97,0,IF(E50&lt;67,1,ROUND(E50*'Reference Curves'!$AE$16+'Reference Curves'!$AE$17,2))))))</f>
        <v/>
      </c>
      <c r="G50" s="128" t="str">
        <f>IFERROR(AVERAGE(F50),"")</f>
        <v/>
      </c>
      <c r="H50" s="419" t="str">
        <f>IFERROR(ROUND(AVERAGE(G50:G52),2),"")</f>
        <v/>
      </c>
      <c r="I50" s="95"/>
      <c r="J50" s="127" t="str">
        <f>IF(I50="","",IF($C$19="Coldwater",IF(I50&gt;=77,0,IF(I50&lt;58.1,1,ROUND(I50*'Reference Curves'!$AD$16+'Reference Curves'!$AD$17,2))),IF($C$19="Coolwater",IF(I50&gt;97,0,IF(I50&lt;67,1,ROUND(I50*'Reference Curves'!$AE$16+'Reference Curves'!$AE$17,2))))))</f>
        <v/>
      </c>
      <c r="K50" s="128" t="str">
        <f>IFERROR(AVERAGE(J50),"")</f>
        <v/>
      </c>
      <c r="L50" s="419" t="str">
        <f>IFERROR(ROUND(AVERAGE(K50:K52),2),"")</f>
        <v/>
      </c>
      <c r="N50" s="80"/>
      <c r="O50" s="80"/>
    </row>
    <row r="51" spans="1:15" ht="15.5" x14ac:dyDescent="0.35">
      <c r="A51" s="418"/>
      <c r="B51" s="125" t="s">
        <v>83</v>
      </c>
      <c r="C51" s="130" t="s">
        <v>84</v>
      </c>
      <c r="D51" s="130"/>
      <c r="E51" s="88"/>
      <c r="F51" s="131" t="str">
        <f>IF(E51="","",ROUND(IF(E51&gt;=268.98,0,IF(E51&lt;=39,1,E51*'Reference Curves'!$AD$49+'Reference Curves'!$AD$50)),2))</f>
        <v/>
      </c>
      <c r="G51" s="128" t="str">
        <f>IFERROR(AVERAGE(F51),"")</f>
        <v/>
      </c>
      <c r="H51" s="419"/>
      <c r="I51" s="88"/>
      <c r="J51" s="131" t="str">
        <f>IF(I51="","",ROUND(IF(I51&gt;=268.98,0,IF(I51&lt;=39,1,I51*'Reference Curves'!$AD$49+'Reference Curves'!$AD$50)),2))</f>
        <v/>
      </c>
      <c r="K51" s="128" t="str">
        <f>IFERROR(AVERAGE(J51),"")</f>
        <v/>
      </c>
      <c r="L51" s="419"/>
      <c r="O51" s="80"/>
    </row>
    <row r="52" spans="1:15" ht="15.5" x14ac:dyDescent="0.35">
      <c r="A52" s="418"/>
      <c r="B52" s="132" t="s">
        <v>85</v>
      </c>
      <c r="C52" s="126" t="s">
        <v>86</v>
      </c>
      <c r="D52" s="126"/>
      <c r="E52" s="95"/>
      <c r="F52" s="133" t="str">
        <f>IF(E52="","",IF($C$6 = "Mountains", IF($C$13 &lt;=5,
IF( $C$20= "Winter/Spring", ROUND(IF(E52&gt;=23,1,E52*'Reference Curves'!$AD$121+'Reference Curves'!$AD$122),2),
IF($C$20= "Summer", ROUND(IF(E52&gt;=21,1,E52*'Reference Curves'!$AE$121),2),
IF($C$20= "Fall", ROUND(IF(E52&gt;=18,1,E52*'Reference Curves'!$AF$121),2)))),
IF($C$13&lt;10, IF($C$20= "Winter/Spring", ROUND(IF(E52&gt;16,1,E52*'Reference Curves'!$AD$155),2),
IF($C$20= "Summer",ROUND(IF(E52&gt;14,1,E52*'Reference Curves'!$AE$155),2),
IF($C$20= "Fall",ROUND(IF(E52&gt;12,1,E52*'Reference Curves'!$AF$155),2)))),
IF($C$20= "Winter/Spring", ROUND(IF(E52&gt;14,1,E52*'Reference Curves'!$AD$189),2),
IF($C$20= "Summer",ROUND(IF(E52&gt;16,1,E52*'Reference Curves'!$AE$189),2),
IF($C$20= "Fall",ROUND(IF(E52&gt;15,1,E52*'Reference Curves'!$AF$189),2)))))),
IF($C$6 = "Piedmont",  IF($C$13 &lt;=5,
IF( $C$20= "Winter/Spring", ROUND(IF(E52&gt;=18,1,E52*'Reference Curves'!$AD$223),2),
IF($C$20= "Summer", ROUND(IF(E52&gt;=12,1,E52*'Reference Curves'!$AE$223),2),
IF($C$20= "Fall", ROUND(IF(E52&gt;=14,1,E52*'Reference Curves'!$AF$223),2)))),
IF($C$13&lt;10, IF($C$20= "Winter/Spring", ROUND(IF(E52&gt;12,1,E52*'Reference Curves'!$AD$259),2),
IF($C$20= "Summer",ROUND(IF(E52&gt;5,1,E52*'Reference Curves'!$AE$259),2),
IF($C$20= "Fall",ROUND(IF(E52&gt;8,1,E52*'Reference Curves'!$AF$259),2)))),
IF($C$20= "Winter/Spring", ROUND(IF(E52&gt;8,1,E52*'Reference Curves'!$AD$293),2),
IF($C$20= "Summer",ROUND(IF(E52&gt;7,1,E52*'Reference Curves'!$AE$293),2),
 IF($C$20= "Fall",ROUND(IF(E52&gt;8,1,E52*'Reference Curves'!$AF$293),2)))))),
IF($C$6 = "Coastal Plain", IF($C$13 &lt;=5,
IF( $C$20= "Winter/Spring", ROUND(IF(E52&gt;=33,1,E52*'Reference Curves'!$AD$325),2),
IF($C$20= "Summer", ROUND(IF(E52&gt;=14,1,E52*'Reference Curves'!$AE$325),2),
IF($C$20= "Fall", ROUND(IF(E52&gt;=25,1,E52*'Reference Curves'!$AF$325),2)))),
IF($C$13&lt;10, IF($C$20= "Winter/Spring", ROUND(IF(E52&gt;20,1,E52*'Reference Curves'!$AD$357),2),
IF($C$20= "Summer",ROUND(IF(E52&gt;13,1,E52*'Reference Curves'!$AE$357),2),
IF($C$20= "Fall",ROUND(IF(E52&gt;12,1,E52*'Reference Curves'!$AF$357),2)))),
IF($C$20= "Winter/Spring", ROUND(IF(E52&gt;17,1,E52*'Reference Curves'!$AD$391),2),
IF($C$20= "Summer",ROUND(IF(E52&gt;16,1,E52*'Reference Curves'!$AE$391),2),
IF($C$20= "Fall",ROUND(IF(E52&gt;8,1,E52*'Reference Curves'!$AF$391),2))))))))))</f>
        <v/>
      </c>
      <c r="G52" s="129"/>
      <c r="H52" s="419"/>
      <c r="I52" s="95"/>
      <c r="J52" s="133" t="str">
        <f>IF(I52="","",IF($C$6 = "Mountains", IF($C$13 &lt;=5,
IF( $C$20= "Winter/Spring", ROUND(IF(I52&gt;=23,1,I52*'Reference Curves'!$AD$121+'Reference Curves'!$AD$122),2),
IF($C$20= "Summer", ROUND(IF(I52&gt;=21,1,I52*'Reference Curves'!$AE$121),2),
IF($C$20= "Fall", ROUND(IF(I52&gt;=18,1,I52*'Reference Curves'!$AF$121),2)))),
IF($C$13&lt;10, IF($C$20= "Winter/Spring", ROUND(IF(I52&gt;16,1,I52*'Reference Curves'!$AD$155),2),
IF($C$20= "Summer",ROUND(IF(I52&gt;14,1,I52*'Reference Curves'!$AE$155),2),
IF($C$20= "Fall",ROUND(IF(I52&gt;12,1,I52*'Reference Curves'!$AF$155),2)))),
IF($C$20= "Winter/Spring", ROUND(IF(I52&gt;14,1,I52*'Reference Curves'!$AD$189),2),
IF($C$20= "Summer",ROUND(IF(I52&gt;16,1,I52*'Reference Curves'!$AE$189),2),
IF($C$20= "Fall",ROUND(IF(I52&gt;15,1,I52*'Reference Curves'!$AF$189),2)))))),
IF($C$6 = "Piedmont",  IF($C$13 &lt;=5,
IF( $C$20= "Winter/Spring", ROUND(IF(I52&gt;=18,1,I52*'Reference Curves'!$AD$223),2),
IF($C$20= "Summer", ROUND(IF(I52&gt;=12,1,I52*'Reference Curves'!$AE$223),2),
IF($C$20= "Fall", ROUND(IF(I52&gt;=14,1,I52*'Reference Curves'!$AF$223),2)))),
IF($C$13&lt;10, IF($C$20= "Winter/Spring", ROUND(IF(I52&gt;12,1,I52*'Reference Curves'!$AD$259),2),
IF($C$20= "Summer",ROUND(IF(I52&gt;5,1,I52*'Reference Curves'!$AE$259),2),
IF($C$20= "Fall",ROUND(IF(I52&gt;8,1,I52*'Reference Curves'!$AF$259),2)))),
IF($C$20= "Winter/Spring", ROUND(IF(I52&gt;8,1,I52*'Reference Curves'!$AD$293),2),
IF($C$20= "Summer",ROUND(IF(I52&gt;7,1,I52*'Reference Curves'!$AE$293),2),
 IF($C$20= "Fall",ROUND(IF(I52&gt;8,1,I52*'Reference Curves'!$AF$293),2)))))),
IF($C$6 = "Coastal Plain", IF($C$13 &lt;=5,
IF( $C$20= "Winter/Spring", ROUND(IF(I52&gt;=33,1,I52*'Reference Curves'!$AD$325),2),
IF($C$20= "Summer", ROUND(IF(I52&gt;=14,1,I52*'Reference Curves'!$AE$325),2),
IF($C$20= "Fall", ROUND(IF(I52&gt;=25,1,I52*'Reference Curves'!$AF$325),2)))),
IF($C$13&lt;10, IF($C$20= "Winter/Spring", ROUND(IF(I52&gt;20,1,I52*'Reference Curves'!$AD$357),2),
IF($C$20= "Summer",ROUND(IF(I52&gt;13,1,I52*'Reference Curves'!$AE$357),2),
IF($C$20= "Fall",ROUND(IF(I52&gt;12,1,I52*'Reference Curves'!$AF$357),2)))),
IF($C$20= "Winter/Spring", ROUND(IF(I52&gt;17,1,I52*'Reference Curves'!$AD$391),2),
IF($C$20= "Summer",ROUND(IF(I52&gt;16,1,I52*'Reference Curves'!$AE$391),2),
IF($C$20= "Fall",ROUND(IF(I52&gt;8,1,I52*'Reference Curves'!$AF$391),2))))))))))</f>
        <v/>
      </c>
      <c r="K52" s="129"/>
      <c r="L52" s="419"/>
      <c r="O52" s="80"/>
    </row>
    <row r="53" spans="1:15" ht="15.65" customHeight="1" x14ac:dyDescent="0.35">
      <c r="A53" s="468" t="s">
        <v>79</v>
      </c>
      <c r="B53" s="456" t="s">
        <v>88</v>
      </c>
      <c r="C53" s="429" t="s">
        <v>89</v>
      </c>
      <c r="D53" s="429"/>
      <c r="E53" s="527"/>
      <c r="F53" s="430" t="str">
        <f>IF(E53="Larva, Juvenile, or Subadult",1,IF(E53="Absent",0,IF(E53="&gt; 1 Adult",0.66,IF(E53="1 Adult",0.33,IF(E53="Eggs",0.66,"")))))</f>
        <v/>
      </c>
      <c r="G53" s="431" t="str">
        <f>IFERROR(AVERAGE(F53),"")</f>
        <v/>
      </c>
      <c r="H53" s="470" t="str">
        <f>IFERROR(ROUND(AVERAGE(G53:G54),2),"")</f>
        <v/>
      </c>
      <c r="I53" s="527"/>
      <c r="J53" s="430" t="str">
        <f>IF(I53="Larva, Juvenile, or Subadult",1,IF(I53="Absent",0,IF(I53="&gt; 1 Adult",0.66,IF(I53="1 Adult",0.33,IF(I53="Eggs",0.66,"")))))</f>
        <v/>
      </c>
      <c r="K53" s="467" t="str">
        <f>IFERROR(AVERAGE(J53),"")</f>
        <v/>
      </c>
      <c r="L53" s="419" t="str">
        <f>IFERROR(ROUND(AVERAGE(K53:K54),2),"")</f>
        <v/>
      </c>
    </row>
    <row r="54" spans="1:15" ht="15.65" customHeight="1" x14ac:dyDescent="0.35">
      <c r="A54" s="469"/>
      <c r="B54" s="456"/>
      <c r="C54" s="429"/>
      <c r="D54" s="429"/>
      <c r="E54" s="527"/>
      <c r="F54" s="430"/>
      <c r="G54" s="431"/>
      <c r="H54" s="419"/>
      <c r="I54" s="527"/>
      <c r="J54" s="430"/>
      <c r="K54" s="467"/>
      <c r="L54" s="419"/>
    </row>
    <row r="55" spans="1:15" x14ac:dyDescent="0.35">
      <c r="I55" s="4"/>
      <c r="J55" s="4"/>
      <c r="K55" s="4"/>
    </row>
    <row r="56" spans="1:15" ht="15" customHeight="1" x14ac:dyDescent="0.35"/>
    <row r="57" spans="1:15" ht="15" customHeight="1" x14ac:dyDescent="0.35"/>
    <row r="58" spans="1:15" ht="15" customHeight="1" x14ac:dyDescent="0.35"/>
    <row r="59" spans="1:15" ht="15" customHeight="1" x14ac:dyDescent="0.35"/>
    <row r="60" spans="1:15" ht="15" customHeight="1" x14ac:dyDescent="0.35"/>
    <row r="61" spans="1:15" ht="15" customHeight="1" x14ac:dyDescent="0.35"/>
    <row r="62" spans="1:15" ht="15" customHeight="1" x14ac:dyDescent="0.35"/>
    <row r="63" spans="1:15" ht="15" customHeight="1" x14ac:dyDescent="0.35"/>
    <row r="64" spans="1:15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</sheetData>
  <sheetProtection algorithmName="SHA-512" hashValue="Iq2T1w5fnFUnDvpfkp/1JEaT5bQRoXQvSFu48qQeLdDtY9o/MfXEhRtHLkNMistn8VCrnMVotL9bwV/3K9qF6g==" saltValue="pUBHD6QL+sUBCYE7pLpmRg==" spinCount="100000" sheet="1" objects="1" scenarios="1"/>
  <mergeCells count="95">
    <mergeCell ref="E20:G20"/>
    <mergeCell ref="E21:G21"/>
    <mergeCell ref="E22:G22"/>
    <mergeCell ref="A21:B21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K53:K54"/>
    <mergeCell ref="A50:A52"/>
    <mergeCell ref="H50:H52"/>
    <mergeCell ref="L50:L52"/>
    <mergeCell ref="B53:B54"/>
    <mergeCell ref="C53:D54"/>
    <mergeCell ref="E53:E54"/>
    <mergeCell ref="F53:F54"/>
    <mergeCell ref="G53:G54"/>
    <mergeCell ref="I53:I54"/>
    <mergeCell ref="J53:J54"/>
    <mergeCell ref="L53:L54"/>
    <mergeCell ref="A53:A54"/>
    <mergeCell ref="H53:H54"/>
    <mergeCell ref="A30:A49"/>
    <mergeCell ref="H30:H49"/>
    <mergeCell ref="L30:L47"/>
    <mergeCell ref="B34:B41"/>
    <mergeCell ref="G34:G41"/>
    <mergeCell ref="K34:K41"/>
    <mergeCell ref="B42:B44"/>
    <mergeCell ref="G42:G44"/>
    <mergeCell ref="K42:K44"/>
    <mergeCell ref="B45:B49"/>
    <mergeCell ref="G45:G49"/>
    <mergeCell ref="K45:K49"/>
    <mergeCell ref="B31:B33"/>
    <mergeCell ref="G31:G33"/>
    <mergeCell ref="K31:K33"/>
    <mergeCell ref="L28:L29"/>
    <mergeCell ref="A26:A27"/>
    <mergeCell ref="B26:B27"/>
    <mergeCell ref="G26:G27"/>
    <mergeCell ref="H26:H27"/>
    <mergeCell ref="K26:K27"/>
    <mergeCell ref="L26:L27"/>
    <mergeCell ref="A28:A29"/>
    <mergeCell ref="B28:B29"/>
    <mergeCell ref="G28:G29"/>
    <mergeCell ref="H28:H29"/>
    <mergeCell ref="K28:K29"/>
    <mergeCell ref="I24:L24"/>
    <mergeCell ref="A13:B13"/>
    <mergeCell ref="J13:O13"/>
    <mergeCell ref="A14:B14"/>
    <mergeCell ref="J14:O20"/>
    <mergeCell ref="A15:B15"/>
    <mergeCell ref="A16:B16"/>
    <mergeCell ref="A17:B17"/>
    <mergeCell ref="A18:B18"/>
    <mergeCell ref="A19:B19"/>
    <mergeCell ref="A20:B20"/>
    <mergeCell ref="A24:A25"/>
    <mergeCell ref="B24:B25"/>
    <mergeCell ref="C24:D25"/>
    <mergeCell ref="E24:H24"/>
    <mergeCell ref="A12:B12"/>
    <mergeCell ref="A4:B4"/>
    <mergeCell ref="E4:I4"/>
    <mergeCell ref="K4:L4"/>
    <mergeCell ref="A5:B5"/>
    <mergeCell ref="E5:I6"/>
    <mergeCell ref="A6:B6"/>
    <mergeCell ref="J6:O7"/>
    <mergeCell ref="A7:B7"/>
    <mergeCell ref="E7:H7"/>
    <mergeCell ref="A8:B8"/>
    <mergeCell ref="J8:O11"/>
    <mergeCell ref="A9:B9"/>
    <mergeCell ref="A10:B10"/>
    <mergeCell ref="A11:B11"/>
    <mergeCell ref="A3:B3"/>
    <mergeCell ref="E3:I3"/>
    <mergeCell ref="K3:L3"/>
    <mergeCell ref="A1:C2"/>
    <mergeCell ref="E1:I1"/>
    <mergeCell ref="K1:L1"/>
    <mergeCell ref="E2:I2"/>
    <mergeCell ref="K2:L2"/>
  </mergeCells>
  <dataValidations count="10">
    <dataValidation type="list" allowBlank="1" showErrorMessage="1" sqref="C11" xr:uid="{28282C93-C656-45E5-8F22-86132A4E9748}">
      <formula1>StreamType</formula1>
    </dataValidation>
    <dataValidation allowBlank="1" showErrorMessage="1" sqref="C13 C8:C9" xr:uid="{E6D3BEBE-33A2-4383-81A9-641CABB1E43B}"/>
    <dataValidation type="list" allowBlank="1" showInputMessage="1" showErrorMessage="1" sqref="C8:C9" xr:uid="{18122725-B875-42ED-8BF4-1B6ED0D75489}">
      <formula1>RiverBasins</formula1>
    </dataValidation>
    <dataValidation allowBlank="1" showInputMessage="1" showErrorMessage="1" prompt="The user can only input a value for either leaf litter processing rate or shredders for organic matter, not both. " sqref="E52 I52" xr:uid="{B1D2A2AD-E412-4962-9327-B5343E64CAB5}"/>
    <dataValidation allowBlank="1" showErrorMessage="1" prompt="Leave field value blank if not a coldwater stream." sqref="E50 I50" xr:uid="{EAEB9BDE-9019-40B9-9BE0-5293B4FAAE9A}"/>
    <dataValidation allowBlank="1" showErrorMessage="1" prompt="Select catchment conditon level from the completed catchment assessment form. " sqref="E26:E27 I26:I27" xr:uid="{C105F7CC-BB6B-407B-AF9C-9885531E8929}"/>
    <dataValidation type="decimal" allowBlank="1" showInputMessage="1" showErrorMessage="1" sqref="I34:I39 E34:E39" xr:uid="{92681399-E3E7-4F36-B554-DBD3CAAD358A}">
      <formula1>0</formula1>
      <formula2>5280</formula2>
    </dataValidation>
    <dataValidation allowBlank="1" showInputMessage="1" showErrorMessage="1" prompt="The user can only input a value for either LWD Index OR # Pieces, not both." sqref="E30 I30" xr:uid="{FF02C6DC-35B6-4463-A9EA-24D1D897D854}"/>
    <dataValidation allowBlank="1" showInputMessage="1" showErrorMessage="1" prompt="This metric should be used in combination with either Erosion Rate or Dominant BEHI/NBS." sqref="E33 I33" xr:uid="{579A660C-AC5E-48CD-8AB4-ED09C3EB6C1B}"/>
    <dataValidation type="decimal" allowBlank="1" showInputMessage="1" showErrorMessage="1" prompt="Measure if proposed canopy cover is anticipated to be less than 20% at project closeout." sqref="E40:E41 I40:I41" xr:uid="{74D7B832-C644-4E7F-93BF-43C0E0924780}">
      <formula1>0</formula1>
      <formula2>5280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0E7A302-6C75-409C-941C-BB5FE05ADD00}">
          <x14:formula1>
            <xm:f>'Pull Down Notes'!$B$143:$B$147</xm:f>
          </x14:formula1>
          <xm:sqref>E53:E54 I53:I54</xm:sqref>
        </x14:dataValidation>
        <x14:dataValidation type="list" allowBlank="1" showInputMessage="1" showErrorMessage="1" xr:uid="{1A1052B6-1AED-4220-BBF5-B0C58EA57E99}">
          <x14:formula1>
            <xm:f>'Pull Down Notes'!$B$35:$B$64</xm:f>
          </x14:formula1>
          <xm:sqref>E31 I31</xm:sqref>
        </x14:dataValidation>
        <x14:dataValidation type="list" allowBlank="1" showInputMessage="1" showErrorMessage="1" xr:uid="{56678E03-C961-465A-82B4-092B8583F222}">
          <x14:formula1>
            <xm:f>'Pull Down Notes'!$B$135:$B$136</xm:f>
          </x14:formula1>
          <xm:sqref>C21</xm:sqref>
        </x14:dataValidation>
        <x14:dataValidation type="list" allowBlank="1" showInputMessage="1" showErrorMessage="1" xr:uid="{65A8B105-9DA7-4CDE-8BE7-CBCFECF4DC3D}">
          <x14:formula1>
            <xm:f>'Pull Down Notes'!$B$119:$B$121</xm:f>
          </x14:formula1>
          <xm:sqref>C20</xm:sqref>
        </x14:dataValidation>
        <x14:dataValidation type="list" allowBlank="1" showInputMessage="1" showErrorMessage="1" xr:uid="{FA434603-E0F4-4409-83DE-A264B5FDBDFD}">
          <x14:formula1>
            <xm:f>'Pull Down Notes'!$B$139:$B$140</xm:f>
          </x14:formula1>
          <xm:sqref>C18</xm:sqref>
        </x14:dataValidation>
        <x14:dataValidation type="list" allowBlank="1" showInputMessage="1" showErrorMessage="1" xr:uid="{0791BED2-16D8-4414-8896-D378CA4D999E}">
          <x14:formula1>
            <xm:f>'Pull Down Notes'!$B$22:$B$27</xm:f>
          </x14:formula1>
          <xm:sqref>C16</xm:sqref>
        </x14:dataValidation>
        <x14:dataValidation type="list" allowBlank="1" showInputMessage="1" showErrorMessage="1" xr:uid="{AC1E71BF-F032-4A40-AE92-E3D65F35DEE9}">
          <x14:formula1>
            <xm:f>'Pull Down Notes'!$B$129:$B$132</xm:f>
          </x14:formula1>
          <xm:sqref>C14</xm:sqref>
        </x14:dataValidation>
        <x14:dataValidation type="list" allowBlank="1" showInputMessage="1" showErrorMessage="1" xr:uid="{79D0F637-DACD-4AD6-BE97-5A482586B8F1}">
          <x14:formula1>
            <xm:f>'Pull Down Notes'!$B$124:$B$126</xm:f>
          </x14:formula1>
          <xm:sqref>C12</xm:sqref>
        </x14:dataValidation>
        <x14:dataValidation type="list" allowBlank="1" showInputMessage="1" showErrorMessage="1" xr:uid="{5787F3AE-64DA-4D08-B3B4-5BB968D3B22D}">
          <x14:formula1>
            <xm:f>'Pull Down Notes'!$B$2:$B$15</xm:f>
          </x14:formula1>
          <xm:sqref>C10:C11</xm:sqref>
        </x14:dataValidation>
        <x14:dataValidation type="list" allowBlank="1" showErrorMessage="1" xr:uid="{32C589C9-EE2F-4C66-88F6-47C00BDCAB54}">
          <x14:formula1>
            <xm:f>'Pull Down Notes'!$B$67:$B$68</xm:f>
          </x14:formula1>
          <xm:sqref>C5</xm:sqref>
        </x14:dataValidation>
        <x14:dataValidation type="list" allowBlank="1" showErrorMessage="1" xr:uid="{562D432F-48F5-434F-92E1-FBCC57070093}">
          <x14:formula1>
            <xm:f>'Pull Down Notes'!$B$30:$B$32</xm:f>
          </x14:formula1>
          <xm:sqref>C15</xm:sqref>
        </x14:dataValidation>
        <x14:dataValidation type="list" allowBlank="1" showErrorMessage="1" xr:uid="{06434DF8-3662-43A2-9738-FAF4397A7E57}">
          <x14:formula1>
            <xm:f>'Pull Down Notes'!$B$2:$B$15</xm:f>
          </x14:formula1>
          <xm:sqref>C10:C11</xm:sqref>
        </x14:dataValidation>
        <x14:dataValidation type="list" allowBlank="1" showErrorMessage="1" prompt="If coldwater stream enter stream temperature in field value. If not a coldwater stream leave blank." xr:uid="{A35385CD-C2BA-446D-B5FF-D86BA7C0EDA9}">
          <x14:formula1>
            <xm:f>'Pull Down Notes'!$B$109:$B$111</xm:f>
          </x14:formula1>
          <xm:sqref>C19</xm:sqref>
        </x14:dataValidation>
        <x14:dataValidation type="list" allowBlank="1" showErrorMessage="1" xr:uid="{6424F2B7-79B3-4B95-94DA-AC41835F22F4}">
          <x14:formula1>
            <xm:f>'Pull Down Notes'!$B$71:$B$76</xm:f>
          </x14:formula1>
          <xm:sqref>C6</xm:sqref>
        </x14:dataValidation>
        <x14:dataValidation type="list" allowBlank="1" showErrorMessage="1" xr:uid="{8C0FE879-AD0C-4560-BFE8-D4B5D3A26CC9}">
          <x14:formula1>
            <xm:f>'Pull Down Notes'!$B$97:$B$106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1EEC-83C5-404D-B68E-4842B02E080B}">
  <dimension ref="A1:AS957"/>
  <sheetViews>
    <sheetView workbookViewId="0">
      <selection activeCell="V791" sqref="V791"/>
    </sheetView>
  </sheetViews>
  <sheetFormatPr defaultColWidth="9.1796875" defaultRowHeight="14.5" x14ac:dyDescent="0.35"/>
  <cols>
    <col min="1" max="1" width="5.1796875" customWidth="1"/>
    <col min="2" max="8" width="11.81640625" customWidth="1"/>
    <col min="9" max="9" width="4.54296875" style="13" customWidth="1"/>
    <col min="10" max="10" width="4.54296875" customWidth="1"/>
    <col min="11" max="17" width="11.81640625" customWidth="1"/>
    <col min="18" max="18" width="4.54296875" style="13" customWidth="1"/>
    <col min="19" max="19" width="4.54296875" customWidth="1"/>
    <col min="20" max="20" width="12.6328125" customWidth="1"/>
    <col min="21" max="26" width="11.81640625" customWidth="1"/>
    <col min="27" max="27" width="4.81640625" style="13" customWidth="1"/>
    <col min="28" max="28" width="4.81640625" customWidth="1"/>
    <col min="29" max="35" width="11.81640625" customWidth="1"/>
    <col min="36" max="36" width="4.90625" style="13" customWidth="1"/>
    <col min="37" max="37" width="4.90625" customWidth="1"/>
    <col min="38" max="44" width="11.81640625" customWidth="1"/>
    <col min="45" max="45" width="4.90625" style="13" customWidth="1"/>
    <col min="46" max="46" width="4.90625" customWidth="1"/>
    <col min="47" max="52" width="11.81640625" customWidth="1"/>
  </cols>
  <sheetData>
    <row r="1" spans="1:44" x14ac:dyDescent="0.35">
      <c r="A1" t="s">
        <v>179</v>
      </c>
    </row>
    <row r="2" spans="1:44" x14ac:dyDescent="0.35">
      <c r="A2" t="s">
        <v>180</v>
      </c>
    </row>
    <row r="5" spans="1:44" ht="15" customHeight="1" x14ac:dyDescent="0.35">
      <c r="B5" s="473" t="s">
        <v>181</v>
      </c>
      <c r="C5" s="473"/>
      <c r="D5" s="473"/>
      <c r="E5" s="473"/>
      <c r="F5" s="473"/>
      <c r="G5" s="473"/>
      <c r="H5" s="473"/>
      <c r="I5" s="177"/>
      <c r="J5" s="178"/>
      <c r="K5" s="473" t="s">
        <v>182</v>
      </c>
      <c r="L5" s="473"/>
      <c r="M5" s="473"/>
      <c r="N5" s="473"/>
      <c r="O5" s="473"/>
      <c r="P5" s="473"/>
      <c r="Q5" s="473"/>
      <c r="R5" s="177"/>
      <c r="T5" s="473" t="s">
        <v>183</v>
      </c>
      <c r="U5" s="473"/>
      <c r="V5" s="473"/>
      <c r="W5" s="473"/>
      <c r="X5" s="473"/>
      <c r="Y5" s="473"/>
      <c r="Z5" s="473"/>
      <c r="AA5" s="179"/>
      <c r="AC5" s="473" t="s">
        <v>184</v>
      </c>
      <c r="AD5" s="473"/>
      <c r="AE5" s="473"/>
      <c r="AF5" s="473"/>
      <c r="AG5" s="473"/>
      <c r="AH5" s="473"/>
      <c r="AI5" s="473"/>
      <c r="AJ5" s="179"/>
      <c r="AK5" s="146"/>
      <c r="AL5" s="473" t="s">
        <v>185</v>
      </c>
      <c r="AM5" s="473"/>
      <c r="AN5" s="473"/>
      <c r="AO5" s="473"/>
      <c r="AP5" s="473"/>
      <c r="AQ5" s="473"/>
      <c r="AR5" s="473"/>
    </row>
    <row r="6" spans="1:44" ht="15" customHeight="1" x14ac:dyDescent="0.35">
      <c r="A6" s="4"/>
      <c r="B6" s="473"/>
      <c r="C6" s="473"/>
      <c r="D6" s="473"/>
      <c r="E6" s="473"/>
      <c r="F6" s="473"/>
      <c r="G6" s="473"/>
      <c r="H6" s="473"/>
      <c r="I6" s="177"/>
      <c r="J6" s="178"/>
      <c r="K6" s="473"/>
      <c r="L6" s="473"/>
      <c r="M6" s="473"/>
      <c r="N6" s="473"/>
      <c r="O6" s="473"/>
      <c r="P6" s="473"/>
      <c r="Q6" s="473"/>
      <c r="R6" s="177"/>
      <c r="T6" s="473"/>
      <c r="U6" s="473"/>
      <c r="V6" s="473"/>
      <c r="W6" s="473"/>
      <c r="X6" s="473"/>
      <c r="Y6" s="473"/>
      <c r="Z6" s="473"/>
      <c r="AA6" s="179"/>
      <c r="AC6" s="473"/>
      <c r="AD6" s="473"/>
      <c r="AE6" s="473"/>
      <c r="AF6" s="473"/>
      <c r="AG6" s="473"/>
      <c r="AH6" s="473"/>
      <c r="AI6" s="473"/>
      <c r="AJ6" s="179"/>
      <c r="AK6" s="146"/>
      <c r="AL6" s="473"/>
      <c r="AM6" s="473"/>
      <c r="AN6" s="473"/>
      <c r="AO6" s="473"/>
      <c r="AP6" s="473"/>
      <c r="AQ6" s="473"/>
      <c r="AR6" s="473"/>
    </row>
    <row r="7" spans="1:44" x14ac:dyDescent="0.35">
      <c r="A7" s="4"/>
      <c r="B7" s="4"/>
      <c r="C7" s="4"/>
      <c r="D7" s="4"/>
      <c r="E7" s="4"/>
      <c r="F7" s="4"/>
      <c r="G7" s="4"/>
      <c r="H7" s="4"/>
      <c r="I7" s="180"/>
      <c r="J7" s="4"/>
    </row>
    <row r="8" spans="1:44" x14ac:dyDescent="0.35">
      <c r="K8" s="4"/>
      <c r="O8" s="146"/>
      <c r="P8" s="146"/>
      <c r="Q8" s="146"/>
      <c r="R8" s="181"/>
      <c r="S8" s="146"/>
      <c r="T8" s="146"/>
      <c r="U8" s="146"/>
      <c r="V8" s="146"/>
    </row>
    <row r="9" spans="1:44" ht="15" thickBot="1" x14ac:dyDescent="0.4">
      <c r="B9" t="s">
        <v>46</v>
      </c>
      <c r="K9" t="s">
        <v>186</v>
      </c>
      <c r="R9" s="181"/>
      <c r="T9" t="s">
        <v>56</v>
      </c>
      <c r="AC9" t="s">
        <v>187</v>
      </c>
      <c r="AL9" t="s">
        <v>188</v>
      </c>
    </row>
    <row r="10" spans="1:44" x14ac:dyDescent="0.35">
      <c r="B10" s="182" t="s">
        <v>130</v>
      </c>
      <c r="C10" s="183">
        <v>98</v>
      </c>
      <c r="D10" s="184"/>
      <c r="E10" s="184">
        <v>75</v>
      </c>
      <c r="F10" s="184"/>
      <c r="G10" s="184">
        <v>68</v>
      </c>
      <c r="H10" s="185">
        <v>55</v>
      </c>
      <c r="J10" s="186"/>
      <c r="K10" s="182" t="s">
        <v>130</v>
      </c>
      <c r="L10" s="187"/>
      <c r="M10" s="187"/>
      <c r="N10" s="187">
        <v>1.5</v>
      </c>
      <c r="O10" s="188"/>
      <c r="P10" s="187"/>
      <c r="Q10" s="189">
        <v>1</v>
      </c>
      <c r="R10" s="181"/>
      <c r="T10" s="182" t="s">
        <v>130</v>
      </c>
      <c r="U10" s="187">
        <v>0</v>
      </c>
      <c r="V10" s="187"/>
      <c r="W10" s="187"/>
      <c r="X10" s="187"/>
      <c r="Y10" s="187">
        <v>355</v>
      </c>
      <c r="Z10" s="189">
        <v>731</v>
      </c>
      <c r="AC10" s="182" t="s">
        <v>189</v>
      </c>
      <c r="AD10" s="187">
        <v>77</v>
      </c>
      <c r="AE10" s="187"/>
      <c r="AF10" s="187"/>
      <c r="AG10" s="187"/>
      <c r="AH10" s="187">
        <v>64</v>
      </c>
      <c r="AI10" s="189">
        <v>58</v>
      </c>
      <c r="AL10" s="182" t="s">
        <v>190</v>
      </c>
      <c r="AM10" s="187">
        <v>6.53</v>
      </c>
      <c r="AN10" s="187"/>
      <c r="AO10" s="187">
        <v>5.62</v>
      </c>
      <c r="AP10" s="187"/>
      <c r="AQ10" s="187">
        <v>4.7300000000000004</v>
      </c>
      <c r="AR10" s="189">
        <v>3.29</v>
      </c>
    </row>
    <row r="11" spans="1:44" ht="15" thickBot="1" x14ac:dyDescent="0.4">
      <c r="B11" s="190" t="s">
        <v>131</v>
      </c>
      <c r="C11" s="191">
        <v>0</v>
      </c>
      <c r="D11" s="191">
        <v>0.28999999999999998</v>
      </c>
      <c r="E11" s="192">
        <v>0.3</v>
      </c>
      <c r="F11" s="192">
        <v>0.69</v>
      </c>
      <c r="G11" s="193">
        <v>0.7</v>
      </c>
      <c r="H11" s="194">
        <v>1</v>
      </c>
      <c r="J11" s="146"/>
      <c r="K11" s="190" t="s">
        <v>131</v>
      </c>
      <c r="L11" s="195">
        <v>0</v>
      </c>
      <c r="M11" s="195">
        <v>0.28999999999999998</v>
      </c>
      <c r="N11" s="196">
        <v>0.3</v>
      </c>
      <c r="O11" s="197">
        <v>0.69</v>
      </c>
      <c r="P11" s="198">
        <v>0.7</v>
      </c>
      <c r="Q11" s="199">
        <v>1</v>
      </c>
      <c r="R11" s="181"/>
      <c r="T11" s="190" t="s">
        <v>131</v>
      </c>
      <c r="U11" s="195">
        <v>0</v>
      </c>
      <c r="V11" s="195">
        <v>0.28999999999999998</v>
      </c>
      <c r="W11" s="196">
        <v>0.3</v>
      </c>
      <c r="X11" s="196">
        <v>0.69</v>
      </c>
      <c r="Y11" s="198">
        <v>0.7</v>
      </c>
      <c r="Z11" s="199">
        <v>1</v>
      </c>
      <c r="AC11" s="200" t="s">
        <v>191</v>
      </c>
      <c r="AD11">
        <v>97</v>
      </c>
      <c r="AI11" s="201">
        <v>67</v>
      </c>
      <c r="AL11" s="190" t="s">
        <v>192</v>
      </c>
      <c r="AM11" s="202">
        <v>0</v>
      </c>
      <c r="AN11" s="202">
        <v>0.28999999999999998</v>
      </c>
      <c r="AO11" s="203">
        <v>0.3</v>
      </c>
      <c r="AP11" s="203">
        <v>0.69</v>
      </c>
      <c r="AQ11" s="204">
        <v>0.7</v>
      </c>
      <c r="AR11" s="205">
        <v>1</v>
      </c>
    </row>
    <row r="12" spans="1:44" ht="15" customHeight="1" thickBot="1" x14ac:dyDescent="0.4">
      <c r="B12" s="206"/>
      <c r="C12" s="17"/>
      <c r="D12" s="207"/>
      <c r="R12" s="181"/>
      <c r="V12" s="208"/>
      <c r="AC12" s="190" t="s">
        <v>192</v>
      </c>
      <c r="AD12" s="202">
        <v>0</v>
      </c>
      <c r="AE12" s="202">
        <v>0.28999999999999998</v>
      </c>
      <c r="AF12" s="203">
        <v>0.3</v>
      </c>
      <c r="AG12" s="203">
        <v>0.69</v>
      </c>
      <c r="AH12" s="204">
        <v>0.7</v>
      </c>
      <c r="AI12" s="205">
        <v>1</v>
      </c>
    </row>
    <row r="13" spans="1:44" ht="15" customHeight="1" x14ac:dyDescent="0.35">
      <c r="B13" t="s">
        <v>193</v>
      </c>
      <c r="C13" s="209"/>
      <c r="D13" s="206"/>
      <c r="K13" t="s">
        <v>193</v>
      </c>
      <c r="L13" s="207"/>
      <c r="R13" s="181"/>
      <c r="U13" s="17" t="s">
        <v>194</v>
      </c>
      <c r="V13" s="17" t="s">
        <v>195</v>
      </c>
      <c r="AE13" s="188"/>
      <c r="AL13" t="s">
        <v>196</v>
      </c>
      <c r="AM13" t="s">
        <v>197</v>
      </c>
    </row>
    <row r="14" spans="1:44" ht="15" customHeight="1" x14ac:dyDescent="0.35">
      <c r="C14" s="209" t="s">
        <v>198</v>
      </c>
      <c r="D14" s="206" t="s">
        <v>199</v>
      </c>
      <c r="E14" t="s">
        <v>200</v>
      </c>
      <c r="K14" s="17" t="s">
        <v>201</v>
      </c>
      <c r="L14" s="207">
        <v>-1.4</v>
      </c>
      <c r="T14" s="7" t="s">
        <v>202</v>
      </c>
      <c r="AD14" t="str">
        <f>AC10</f>
        <v>Coldwater</v>
      </c>
      <c r="AE14" t="str">
        <f>AC11</f>
        <v>Coolwater</v>
      </c>
      <c r="AM14" s="210" t="s">
        <v>195</v>
      </c>
      <c r="AN14" s="210" t="s">
        <v>203</v>
      </c>
      <c r="AO14" t="s">
        <v>204</v>
      </c>
    </row>
    <row r="15" spans="1:44" x14ac:dyDescent="0.35">
      <c r="B15" s="17" t="s">
        <v>201</v>
      </c>
      <c r="C15" s="211">
        <v>-1.2999999999999999E-2</v>
      </c>
      <c r="D15" s="206">
        <v>-5.7099999999999998E-2</v>
      </c>
      <c r="E15">
        <v>-2.3099999999999999E-2</v>
      </c>
      <c r="K15" s="17" t="s">
        <v>205</v>
      </c>
      <c r="L15" s="212">
        <v>2.4</v>
      </c>
      <c r="T15" s="17" t="s">
        <v>201</v>
      </c>
      <c r="U15">
        <v>1.9719999999999998E-3</v>
      </c>
      <c r="V15">
        <v>7.9799999999999999E-4</v>
      </c>
      <c r="AC15" t="s">
        <v>206</v>
      </c>
      <c r="AL15" s="17" t="s">
        <v>201</v>
      </c>
      <c r="AM15" s="213">
        <v>-0.20830000000000001</v>
      </c>
      <c r="AN15" s="214">
        <v>-0.44940000000000002</v>
      </c>
      <c r="AO15">
        <v>-0.32969999999999999</v>
      </c>
    </row>
    <row r="16" spans="1:44" x14ac:dyDescent="0.35">
      <c r="B16" s="17" t="s">
        <v>205</v>
      </c>
      <c r="C16" s="209">
        <v>1.2783</v>
      </c>
      <c r="D16">
        <v>4.5857000000000001</v>
      </c>
      <c r="E16">
        <v>2.2692000000000001</v>
      </c>
      <c r="K16" s="17"/>
      <c r="N16" s="34"/>
      <c r="T16" s="17" t="s">
        <v>205</v>
      </c>
      <c r="U16">
        <v>0</v>
      </c>
      <c r="V16" s="34">
        <v>0.41675499999999999</v>
      </c>
      <c r="AC16" s="17" t="s">
        <v>201</v>
      </c>
      <c r="AD16">
        <v>-5.28E-2</v>
      </c>
      <c r="AE16">
        <v>-3.3300000000000003E-2</v>
      </c>
      <c r="AL16" s="17" t="s">
        <v>205</v>
      </c>
      <c r="AM16" s="214">
        <v>1.6854</v>
      </c>
      <c r="AN16" s="214">
        <v>2.8258000000000001</v>
      </c>
      <c r="AO16">
        <v>2.1526999999999998</v>
      </c>
    </row>
    <row r="17" spans="4:41" x14ac:dyDescent="0.35">
      <c r="M17" s="34"/>
      <c r="AC17" s="17" t="s">
        <v>205</v>
      </c>
      <c r="AD17">
        <v>4.0708000000000002</v>
      </c>
      <c r="AE17">
        <v>3.2332999999999998</v>
      </c>
      <c r="AF17" s="34"/>
      <c r="AL17" s="17"/>
      <c r="AM17" s="214"/>
      <c r="AN17" s="214"/>
      <c r="AO17" s="34"/>
    </row>
    <row r="18" spans="4:41" x14ac:dyDescent="0.35">
      <c r="D18" s="34"/>
      <c r="AE18" s="34"/>
      <c r="AN18" s="34"/>
    </row>
    <row r="43" spans="2:44" ht="15" thickBot="1" x14ac:dyDescent="0.4">
      <c r="K43" t="s">
        <v>207</v>
      </c>
      <c r="T43" t="s">
        <v>208</v>
      </c>
      <c r="AL43" t="s">
        <v>209</v>
      </c>
    </row>
    <row r="44" spans="2:44" ht="15" thickBot="1" x14ac:dyDescent="0.4">
      <c r="B44" t="s">
        <v>210</v>
      </c>
      <c r="I44" s="215"/>
      <c r="K44" s="182" t="s">
        <v>130</v>
      </c>
      <c r="L44" s="187">
        <v>1</v>
      </c>
      <c r="M44" s="187"/>
      <c r="N44" s="187"/>
      <c r="O44" s="187"/>
      <c r="P44" s="187">
        <v>2.2000000000000002</v>
      </c>
      <c r="Q44" s="189">
        <v>7.3</v>
      </c>
      <c r="T44" s="182" t="s">
        <v>130</v>
      </c>
      <c r="U44" s="187">
        <v>0</v>
      </c>
      <c r="V44" s="187"/>
      <c r="W44" s="187"/>
      <c r="X44" s="187"/>
      <c r="Y44" s="187">
        <v>16</v>
      </c>
      <c r="Z44" s="189">
        <v>28</v>
      </c>
      <c r="AC44" t="s">
        <v>211</v>
      </c>
      <c r="AL44" s="182" t="s">
        <v>190</v>
      </c>
      <c r="AM44" s="187">
        <v>6.92</v>
      </c>
      <c r="AN44" s="187"/>
      <c r="AO44" s="187">
        <v>5.85</v>
      </c>
      <c r="AP44" s="187"/>
      <c r="AQ44" s="187">
        <v>5.18</v>
      </c>
      <c r="AR44" s="189">
        <v>4.3</v>
      </c>
    </row>
    <row r="45" spans="2:44" ht="15" thickBot="1" x14ac:dyDescent="0.4">
      <c r="B45" s="182" t="s">
        <v>130</v>
      </c>
      <c r="C45" s="184">
        <v>1</v>
      </c>
      <c r="D45" s="184"/>
      <c r="E45" s="184">
        <v>0.6</v>
      </c>
      <c r="F45" s="184"/>
      <c r="G45" s="184"/>
      <c r="H45" s="185">
        <v>0</v>
      </c>
      <c r="I45" s="215"/>
      <c r="K45" s="190" t="s">
        <v>131</v>
      </c>
      <c r="L45" s="195">
        <v>0</v>
      </c>
      <c r="M45" s="195">
        <v>0.28999999999999998</v>
      </c>
      <c r="N45" s="196">
        <v>0.3</v>
      </c>
      <c r="O45" s="196">
        <v>0.69</v>
      </c>
      <c r="P45" s="198">
        <v>0.7</v>
      </c>
      <c r="Q45" s="199">
        <v>1</v>
      </c>
      <c r="T45" s="190" t="s">
        <v>131</v>
      </c>
      <c r="U45" s="195">
        <v>0</v>
      </c>
      <c r="V45" s="195">
        <v>0.28999999999999998</v>
      </c>
      <c r="W45" s="196">
        <v>0.3</v>
      </c>
      <c r="X45" s="196">
        <v>0.69</v>
      </c>
      <c r="Y45" s="198">
        <v>0.7</v>
      </c>
      <c r="Z45" s="199">
        <v>1</v>
      </c>
      <c r="AC45" s="182" t="s">
        <v>190</v>
      </c>
      <c r="AD45" s="216"/>
      <c r="AE45" s="217"/>
      <c r="AF45" s="187">
        <v>200</v>
      </c>
      <c r="AG45" s="217"/>
      <c r="AH45" s="218">
        <v>108</v>
      </c>
      <c r="AI45" s="189"/>
      <c r="AL45" s="190" t="s">
        <v>192</v>
      </c>
      <c r="AM45" s="202">
        <v>0</v>
      </c>
      <c r="AN45" s="202">
        <v>0.28999999999999998</v>
      </c>
      <c r="AO45" s="203">
        <v>0.3</v>
      </c>
      <c r="AP45" s="203">
        <v>0.69</v>
      </c>
      <c r="AQ45" s="204">
        <v>0.7</v>
      </c>
      <c r="AR45" s="205">
        <v>1</v>
      </c>
    </row>
    <row r="46" spans="2:44" ht="15" thickBot="1" x14ac:dyDescent="0.4">
      <c r="B46" s="190" t="s">
        <v>131</v>
      </c>
      <c r="C46" s="195">
        <v>0</v>
      </c>
      <c r="D46" s="195">
        <v>0.28999999999999998</v>
      </c>
      <c r="E46" s="196">
        <v>0.3</v>
      </c>
      <c r="F46" s="196">
        <v>0.69</v>
      </c>
      <c r="G46" s="198">
        <v>0.7</v>
      </c>
      <c r="H46" s="199">
        <v>1</v>
      </c>
      <c r="I46" s="215"/>
      <c r="U46" s="208"/>
      <c r="V46" s="188"/>
      <c r="AC46" s="190" t="s">
        <v>192</v>
      </c>
      <c r="AD46" s="202">
        <v>0</v>
      </c>
      <c r="AE46" s="202">
        <v>0.28999999999999998</v>
      </c>
      <c r="AF46" s="203">
        <v>0.3</v>
      </c>
      <c r="AG46" s="203">
        <v>0.69</v>
      </c>
      <c r="AH46" s="204">
        <v>0.7</v>
      </c>
      <c r="AI46" s="205">
        <v>1</v>
      </c>
    </row>
    <row r="47" spans="2:44" x14ac:dyDescent="0.35">
      <c r="J47" s="146"/>
      <c r="L47" s="17" t="s">
        <v>194</v>
      </c>
      <c r="M47" s="17" t="s">
        <v>195</v>
      </c>
      <c r="U47" s="17" t="s">
        <v>194</v>
      </c>
      <c r="V47" s="17" t="s">
        <v>195</v>
      </c>
      <c r="AD47" s="80"/>
      <c r="AF47" s="219"/>
      <c r="AG47" s="219"/>
      <c r="AH47" s="219"/>
      <c r="AI47" s="219"/>
      <c r="AL47" t="s">
        <v>212</v>
      </c>
      <c r="AM47" t="s">
        <v>197</v>
      </c>
    </row>
    <row r="48" spans="2:44" x14ac:dyDescent="0.35">
      <c r="B48" t="s">
        <v>206</v>
      </c>
      <c r="J48" s="146"/>
      <c r="K48" t="s">
        <v>206</v>
      </c>
      <c r="T48" s="7" t="s">
        <v>202</v>
      </c>
      <c r="AC48" t="s">
        <v>206</v>
      </c>
      <c r="AM48" s="210" t="s">
        <v>195</v>
      </c>
      <c r="AN48" s="210" t="s">
        <v>203</v>
      </c>
      <c r="AO48" t="s">
        <v>204</v>
      </c>
    </row>
    <row r="49" spans="2:41" x14ac:dyDescent="0.35">
      <c r="C49" t="s">
        <v>213</v>
      </c>
      <c r="D49" t="s">
        <v>198</v>
      </c>
      <c r="K49" s="17" t="s">
        <v>201</v>
      </c>
      <c r="L49">
        <v>0.58330000000000004</v>
      </c>
      <c r="M49">
        <v>5.8799999999999998E-2</v>
      </c>
      <c r="T49" s="17" t="s">
        <v>201</v>
      </c>
      <c r="U49">
        <v>4.3799999999999999E-2</v>
      </c>
      <c r="V49">
        <v>2.5000000000000001E-2</v>
      </c>
      <c r="AC49" s="17" t="s">
        <v>201</v>
      </c>
      <c r="AD49">
        <v>-4.3480000000000003E-3</v>
      </c>
      <c r="AL49" s="17" t="s">
        <v>201</v>
      </c>
      <c r="AM49" s="214">
        <v>-0.34089999999999998</v>
      </c>
      <c r="AN49" s="214">
        <v>-0.59699999999999998</v>
      </c>
      <c r="AO49">
        <v>-0.28039999999999998</v>
      </c>
    </row>
    <row r="50" spans="2:41" x14ac:dyDescent="0.35">
      <c r="B50" t="s">
        <v>201</v>
      </c>
      <c r="C50">
        <v>-1.1667000000000001</v>
      </c>
      <c r="D50">
        <v>-0.75</v>
      </c>
      <c r="K50" s="17" t="s">
        <v>205</v>
      </c>
      <c r="L50">
        <v>-0.58330000000000004</v>
      </c>
      <c r="M50">
        <v>0.5706</v>
      </c>
      <c r="T50" s="17" t="s">
        <v>205</v>
      </c>
      <c r="U50">
        <v>0</v>
      </c>
      <c r="V50">
        <v>0.3</v>
      </c>
      <c r="AC50" s="17" t="s">
        <v>205</v>
      </c>
      <c r="AD50">
        <v>1.169565</v>
      </c>
      <c r="AL50" s="17" t="s">
        <v>205</v>
      </c>
      <c r="AM50" s="214">
        <v>2.4659</v>
      </c>
      <c r="AN50" s="214">
        <v>3.7925</v>
      </c>
      <c r="AO50">
        <v>1.9401999999999999</v>
      </c>
    </row>
    <row r="51" spans="2:41" x14ac:dyDescent="0.35">
      <c r="B51" t="s">
        <v>205</v>
      </c>
      <c r="C51">
        <v>1</v>
      </c>
      <c r="D51">
        <v>0.75</v>
      </c>
      <c r="K51" s="17"/>
      <c r="M51" s="34"/>
      <c r="AC51" s="17"/>
      <c r="AL51" s="17"/>
      <c r="AM51" s="214"/>
      <c r="AN51" s="214"/>
    </row>
    <row r="52" spans="2:41" x14ac:dyDescent="0.35">
      <c r="AO52" s="34"/>
    </row>
    <row r="53" spans="2:41" x14ac:dyDescent="0.35">
      <c r="D53" s="34"/>
      <c r="AN53" s="34"/>
    </row>
    <row r="66" spans="2:44" x14ac:dyDescent="0.35">
      <c r="K66" s="4"/>
    </row>
    <row r="76" spans="2:44" ht="15" thickBot="1" x14ac:dyDescent="0.4">
      <c r="K76" t="s">
        <v>214</v>
      </c>
    </row>
    <row r="77" spans="2:44" x14ac:dyDescent="0.35">
      <c r="I77" s="181"/>
      <c r="K77" s="182" t="s">
        <v>130</v>
      </c>
      <c r="L77" s="187">
        <v>1</v>
      </c>
      <c r="M77" s="187"/>
      <c r="N77" s="187"/>
      <c r="O77" s="187"/>
      <c r="P77" s="187">
        <v>2.2000000000000002</v>
      </c>
      <c r="Q77" s="189">
        <v>10</v>
      </c>
      <c r="AJ77" s="220"/>
    </row>
    <row r="78" spans="2:44" ht="15" thickBot="1" x14ac:dyDescent="0.4">
      <c r="B78" t="s">
        <v>215</v>
      </c>
      <c r="I78" s="181"/>
      <c r="K78" s="190" t="s">
        <v>131</v>
      </c>
      <c r="L78" s="195">
        <v>0</v>
      </c>
      <c r="M78" s="195">
        <v>0.28999999999999998</v>
      </c>
      <c r="N78" s="196">
        <v>0.3</v>
      </c>
      <c r="O78" s="196">
        <v>0.69</v>
      </c>
      <c r="P78" s="198">
        <v>0.7</v>
      </c>
      <c r="Q78" s="199">
        <v>1</v>
      </c>
      <c r="T78" t="s">
        <v>216</v>
      </c>
    </row>
    <row r="79" spans="2:44" ht="15" thickBot="1" x14ac:dyDescent="0.4">
      <c r="B79" s="471" t="s">
        <v>130</v>
      </c>
      <c r="C79" s="221">
        <v>0</v>
      </c>
      <c r="D79" s="187"/>
      <c r="E79" s="221"/>
      <c r="F79" s="187"/>
      <c r="G79" s="187"/>
      <c r="H79" s="189">
        <v>0.9</v>
      </c>
      <c r="I79" s="181"/>
      <c r="T79" s="182" t="s">
        <v>130</v>
      </c>
      <c r="U79" s="187">
        <v>0.71</v>
      </c>
      <c r="V79" s="222"/>
      <c r="W79" s="187">
        <v>0.4</v>
      </c>
      <c r="X79" s="222"/>
      <c r="Y79" s="222">
        <v>0.2</v>
      </c>
      <c r="Z79" s="189">
        <v>0.1</v>
      </c>
      <c r="AC79" t="s">
        <v>217</v>
      </c>
      <c r="AL79" t="s">
        <v>218</v>
      </c>
    </row>
    <row r="80" spans="2:44" ht="15" thickBot="1" x14ac:dyDescent="0.4">
      <c r="B80" s="472"/>
      <c r="C80" s="223">
        <v>2</v>
      </c>
      <c r="D80" s="146"/>
      <c r="E80" s="223"/>
      <c r="F80" s="146"/>
      <c r="G80" s="146"/>
      <c r="H80" s="224">
        <v>1.1000000000000001</v>
      </c>
      <c r="L80" s="17" t="s">
        <v>194</v>
      </c>
      <c r="M80" s="17" t="s">
        <v>195</v>
      </c>
      <c r="T80" s="190" t="s">
        <v>131</v>
      </c>
      <c r="U80" s="195">
        <v>0</v>
      </c>
      <c r="V80" s="195">
        <v>0.28999999999999998</v>
      </c>
      <c r="W80" s="196">
        <v>0.3</v>
      </c>
      <c r="X80" s="196">
        <v>0.69</v>
      </c>
      <c r="Y80" s="198">
        <v>0.7</v>
      </c>
      <c r="Z80" s="199">
        <v>1</v>
      </c>
      <c r="AC80" s="471" t="s">
        <v>190</v>
      </c>
      <c r="AD80" s="187"/>
      <c r="AE80" s="187"/>
      <c r="AF80" s="187">
        <v>0.5</v>
      </c>
      <c r="AG80" s="187"/>
      <c r="AH80" s="187"/>
      <c r="AI80" s="189">
        <v>0.75</v>
      </c>
      <c r="AL80" s="182" t="s">
        <v>190</v>
      </c>
      <c r="AM80" s="187">
        <v>7.06</v>
      </c>
      <c r="AN80" s="187"/>
      <c r="AO80" s="187">
        <v>5.79</v>
      </c>
      <c r="AP80" s="187"/>
      <c r="AQ80" s="187">
        <v>4.83</v>
      </c>
      <c r="AR80" s="189">
        <v>3.99</v>
      </c>
    </row>
    <row r="81" spans="2:44" ht="15" thickBot="1" x14ac:dyDescent="0.4">
      <c r="B81" s="190" t="s">
        <v>131</v>
      </c>
      <c r="C81" s="195">
        <v>0</v>
      </c>
      <c r="D81" s="195">
        <v>0.28999999999999998</v>
      </c>
      <c r="E81" s="196">
        <v>0.3</v>
      </c>
      <c r="F81" s="196">
        <v>0.69</v>
      </c>
      <c r="G81" s="198">
        <v>0.7</v>
      </c>
      <c r="H81" s="199">
        <v>1</v>
      </c>
      <c r="K81" t="s">
        <v>206</v>
      </c>
      <c r="U81" t="s">
        <v>204</v>
      </c>
      <c r="V81" t="s">
        <v>203</v>
      </c>
      <c r="W81" t="s">
        <v>195</v>
      </c>
      <c r="AC81" s="472"/>
      <c r="AD81" s="146"/>
      <c r="AE81" s="146"/>
      <c r="AF81" s="146">
        <v>2</v>
      </c>
      <c r="AG81" s="146"/>
      <c r="AH81" s="146"/>
      <c r="AI81" s="224">
        <v>1.33</v>
      </c>
      <c r="AL81" s="190" t="s">
        <v>192</v>
      </c>
      <c r="AM81" s="202">
        <v>0</v>
      </c>
      <c r="AN81" s="202">
        <v>0.28999999999999998</v>
      </c>
      <c r="AO81" s="203">
        <v>0.3</v>
      </c>
      <c r="AP81" s="203">
        <v>0.69</v>
      </c>
      <c r="AQ81" s="204">
        <v>0.7</v>
      </c>
      <c r="AR81" s="205">
        <v>1</v>
      </c>
    </row>
    <row r="82" spans="2:44" ht="15" thickBot="1" x14ac:dyDescent="0.4">
      <c r="K82" s="17" t="s">
        <v>201</v>
      </c>
      <c r="L82">
        <v>0.58330000000000004</v>
      </c>
      <c r="M82">
        <v>3.85E-2</v>
      </c>
      <c r="T82" t="s">
        <v>206</v>
      </c>
      <c r="AC82" s="190" t="s">
        <v>192</v>
      </c>
      <c r="AD82" s="202">
        <v>0</v>
      </c>
      <c r="AE82" s="202">
        <v>0.28999999999999998</v>
      </c>
      <c r="AF82" s="203">
        <v>0.3</v>
      </c>
      <c r="AG82" s="203">
        <v>0.69</v>
      </c>
      <c r="AH82" s="204">
        <v>0.7</v>
      </c>
      <c r="AI82" s="205">
        <v>1</v>
      </c>
    </row>
    <row r="83" spans="2:44" x14ac:dyDescent="0.35">
      <c r="C83" t="s">
        <v>219</v>
      </c>
      <c r="D83" t="s">
        <v>220</v>
      </c>
      <c r="K83" s="17" t="s">
        <v>205</v>
      </c>
      <c r="L83">
        <v>-0.58330000000000004</v>
      </c>
      <c r="M83">
        <v>0.61539999999999995</v>
      </c>
      <c r="T83" s="17" t="s">
        <v>201</v>
      </c>
      <c r="U83">
        <v>-0.9677</v>
      </c>
      <c r="V83">
        <v>-2</v>
      </c>
      <c r="W83">
        <v>-3</v>
      </c>
      <c r="AL83" t="s">
        <v>212</v>
      </c>
      <c r="AM83" t="s">
        <v>197</v>
      </c>
      <c r="AN83" s="225" t="s">
        <v>221</v>
      </c>
      <c r="AO83" s="225"/>
    </row>
    <row r="84" spans="2:44" x14ac:dyDescent="0.35">
      <c r="B84" s="7" t="s">
        <v>202</v>
      </c>
      <c r="C84" s="17"/>
      <c r="D84" s="17"/>
      <c r="K84" s="17"/>
      <c r="M84" s="34"/>
      <c r="T84" s="17" t="s">
        <v>205</v>
      </c>
      <c r="U84">
        <v>0.68710000000000004</v>
      </c>
      <c r="V84">
        <v>1.1000000000000001</v>
      </c>
      <c r="W84">
        <v>1.3</v>
      </c>
      <c r="AD84" t="s">
        <v>219</v>
      </c>
      <c r="AE84" s="17" t="s">
        <v>220</v>
      </c>
      <c r="AF84" s="17"/>
      <c r="AM84" s="210" t="s">
        <v>222</v>
      </c>
      <c r="AN84" s="210" t="s">
        <v>204</v>
      </c>
    </row>
    <row r="85" spans="2:44" x14ac:dyDescent="0.35">
      <c r="B85" t="s">
        <v>201</v>
      </c>
      <c r="C85" s="206">
        <v>1.1111</v>
      </c>
      <c r="D85" s="206">
        <v>-1.1111</v>
      </c>
      <c r="T85" s="17"/>
      <c r="W85" s="80"/>
      <c r="AC85" s="7" t="s">
        <v>206</v>
      </c>
      <c r="AL85" s="17" t="s">
        <v>201</v>
      </c>
      <c r="AM85" s="214">
        <v>-3.3099999999999997E-2</v>
      </c>
      <c r="AN85" s="214">
        <v>-0.23619999999999999</v>
      </c>
    </row>
    <row r="86" spans="2:44" x14ac:dyDescent="0.35">
      <c r="B86" t="s">
        <v>205</v>
      </c>
      <c r="C86" s="206">
        <v>0</v>
      </c>
      <c r="D86" s="226">
        <v>2.2222</v>
      </c>
      <c r="T86" s="17"/>
      <c r="W86" s="34"/>
      <c r="AC86" s="17" t="s">
        <v>201</v>
      </c>
      <c r="AD86">
        <v>2.8</v>
      </c>
      <c r="AE86">
        <v>-1.0448</v>
      </c>
      <c r="AL86" s="17" t="s">
        <v>205</v>
      </c>
      <c r="AM86" s="214">
        <v>-6.5500000000000003E-2</v>
      </c>
      <c r="AN86" s="214">
        <v>1.6677</v>
      </c>
    </row>
    <row r="87" spans="2:44" x14ac:dyDescent="0.35">
      <c r="V87" s="34"/>
      <c r="AC87" s="17" t="s">
        <v>205</v>
      </c>
      <c r="AD87">
        <v>-1.1000000000000001</v>
      </c>
      <c r="AE87">
        <v>2.3896000000000002</v>
      </c>
      <c r="AL87" s="17" t="s">
        <v>223</v>
      </c>
      <c r="AM87">
        <v>1.7877000000000001</v>
      </c>
    </row>
    <row r="88" spans="2:44" x14ac:dyDescent="0.35">
      <c r="D88" s="34"/>
      <c r="AC88" s="17"/>
      <c r="AE88" s="34"/>
      <c r="AO88" s="34"/>
    </row>
    <row r="89" spans="2:44" x14ac:dyDescent="0.35">
      <c r="AN89" s="34"/>
    </row>
    <row r="99" spans="11:26" x14ac:dyDescent="0.35">
      <c r="K99" s="4"/>
    </row>
    <row r="111" spans="11:26" ht="15" thickBot="1" x14ac:dyDescent="0.4">
      <c r="K111" t="s">
        <v>224</v>
      </c>
      <c r="T111" t="s">
        <v>60</v>
      </c>
    </row>
    <row r="112" spans="11:26" x14ac:dyDescent="0.35">
      <c r="K112" s="182" t="s">
        <v>130</v>
      </c>
      <c r="L112" s="187">
        <v>1</v>
      </c>
      <c r="M112" s="187"/>
      <c r="N112" s="187"/>
      <c r="O112" s="187"/>
      <c r="P112" s="187">
        <v>1.4</v>
      </c>
      <c r="Q112" s="189">
        <v>2</v>
      </c>
      <c r="T112" s="182" t="s">
        <v>130</v>
      </c>
      <c r="U112" s="187">
        <v>50</v>
      </c>
      <c r="V112" s="187"/>
      <c r="W112" s="187"/>
      <c r="X112" s="187"/>
      <c r="Y112" s="187">
        <v>11</v>
      </c>
      <c r="Z112" s="189">
        <v>5</v>
      </c>
    </row>
    <row r="113" spans="11:44" ht="14.25" customHeight="1" thickBot="1" x14ac:dyDescent="0.4">
      <c r="K113" s="190" t="s">
        <v>131</v>
      </c>
      <c r="L113" s="195">
        <v>0</v>
      </c>
      <c r="M113" s="195">
        <v>0.28999999999999998</v>
      </c>
      <c r="N113" s="196">
        <v>0.3</v>
      </c>
      <c r="O113" s="196">
        <v>0.69</v>
      </c>
      <c r="P113" s="198">
        <v>0.7</v>
      </c>
      <c r="Q113" s="199">
        <v>1</v>
      </c>
      <c r="T113" s="190" t="s">
        <v>131</v>
      </c>
      <c r="U113" s="195">
        <v>0</v>
      </c>
      <c r="V113" s="195">
        <v>0.28999999999999998</v>
      </c>
      <c r="W113" s="196">
        <v>0.3</v>
      </c>
      <c r="X113" s="196">
        <v>0.69</v>
      </c>
      <c r="Y113" s="198">
        <v>0.7</v>
      </c>
      <c r="Z113" s="199">
        <v>1</v>
      </c>
      <c r="AC113" t="s">
        <v>225</v>
      </c>
      <c r="AL113" t="s">
        <v>226</v>
      </c>
    </row>
    <row r="114" spans="11:44" x14ac:dyDescent="0.35">
      <c r="AC114" s="182" t="s">
        <v>227</v>
      </c>
      <c r="AD114" s="227">
        <v>0</v>
      </c>
      <c r="AE114" s="227"/>
      <c r="AF114" s="227">
        <v>6.9</v>
      </c>
      <c r="AG114" s="227"/>
      <c r="AH114" s="227">
        <v>16.100000000000001</v>
      </c>
      <c r="AI114" s="228">
        <v>23</v>
      </c>
      <c r="AL114" s="182" t="s">
        <v>190</v>
      </c>
      <c r="AM114" s="187">
        <v>7.54</v>
      </c>
      <c r="AN114" s="187"/>
      <c r="AO114" s="187">
        <v>6.53</v>
      </c>
      <c r="AP114" s="187"/>
      <c r="AQ114" s="187">
        <v>5.73</v>
      </c>
      <c r="AR114" s="189">
        <v>5.13</v>
      </c>
    </row>
    <row r="115" spans="11:44" ht="15" thickBot="1" x14ac:dyDescent="0.4">
      <c r="L115" s="17" t="s">
        <v>194</v>
      </c>
      <c r="M115" s="17" t="s">
        <v>195</v>
      </c>
      <c r="U115" s="17" t="s">
        <v>194</v>
      </c>
      <c r="V115" s="17" t="s">
        <v>195</v>
      </c>
      <c r="AC115" s="229" t="s">
        <v>228</v>
      </c>
      <c r="AD115" s="186">
        <v>0</v>
      </c>
      <c r="AE115" s="230"/>
      <c r="AF115" s="230">
        <v>6.3</v>
      </c>
      <c r="AG115" s="230"/>
      <c r="AH115" s="230">
        <v>14.7</v>
      </c>
      <c r="AI115" s="231">
        <v>21</v>
      </c>
      <c r="AL115" s="190" t="s">
        <v>192</v>
      </c>
      <c r="AM115" s="202">
        <v>0</v>
      </c>
      <c r="AN115" s="202">
        <v>0.28999999999999998</v>
      </c>
      <c r="AO115" s="203">
        <v>0.3</v>
      </c>
      <c r="AP115" s="203">
        <v>0.69</v>
      </c>
      <c r="AQ115" s="204">
        <v>0.7</v>
      </c>
      <c r="AR115" s="205">
        <v>1</v>
      </c>
    </row>
    <row r="116" spans="11:44" x14ac:dyDescent="0.35">
      <c r="K116" t="s">
        <v>206</v>
      </c>
      <c r="T116" s="7" t="s">
        <v>206</v>
      </c>
      <c r="AC116" s="229" t="s">
        <v>229</v>
      </c>
      <c r="AD116" s="186">
        <v>0</v>
      </c>
      <c r="AE116" s="186"/>
      <c r="AF116" s="186">
        <v>5.4</v>
      </c>
      <c r="AG116" s="186"/>
      <c r="AH116" s="186">
        <v>12.6</v>
      </c>
      <c r="AI116" s="232">
        <v>18</v>
      </c>
    </row>
    <row r="117" spans="11:44" ht="15" thickBot="1" x14ac:dyDescent="0.4">
      <c r="K117" s="17" t="s">
        <v>201</v>
      </c>
      <c r="L117">
        <v>1.75</v>
      </c>
      <c r="M117">
        <v>0.5</v>
      </c>
      <c r="T117" s="17" t="s">
        <v>201</v>
      </c>
      <c r="U117">
        <v>-1.7899999999999999E-2</v>
      </c>
      <c r="V117">
        <v>-0.05</v>
      </c>
      <c r="AC117" s="190" t="s">
        <v>192</v>
      </c>
      <c r="AD117" s="202">
        <v>0</v>
      </c>
      <c r="AE117" s="202">
        <v>0.28999999999999998</v>
      </c>
      <c r="AF117" s="203">
        <v>0.3</v>
      </c>
      <c r="AG117" s="203">
        <v>0.69</v>
      </c>
      <c r="AH117" s="204">
        <v>0.7</v>
      </c>
      <c r="AI117" s="205">
        <v>1</v>
      </c>
      <c r="AL117" t="s">
        <v>206</v>
      </c>
    </row>
    <row r="118" spans="11:44" x14ac:dyDescent="0.35">
      <c r="K118" s="17" t="s">
        <v>205</v>
      </c>
      <c r="L118">
        <v>-1.75</v>
      </c>
      <c r="M118">
        <v>0</v>
      </c>
      <c r="T118" s="17" t="s">
        <v>205</v>
      </c>
      <c r="U118">
        <v>0.89739999999999998</v>
      </c>
      <c r="V118">
        <v>1.25</v>
      </c>
      <c r="AM118" s="210" t="s">
        <v>222</v>
      </c>
      <c r="AN118" s="210" t="s">
        <v>204</v>
      </c>
    </row>
    <row r="119" spans="11:44" x14ac:dyDescent="0.35">
      <c r="K119" s="17"/>
      <c r="M119" s="34"/>
      <c r="T119" s="17"/>
      <c r="AD119" t="s">
        <v>230</v>
      </c>
      <c r="AE119" t="s">
        <v>231</v>
      </c>
      <c r="AF119" t="s">
        <v>232</v>
      </c>
      <c r="AL119" s="17" t="s">
        <v>201</v>
      </c>
      <c r="AM119" s="214">
        <v>-0.5</v>
      </c>
      <c r="AN119" s="214">
        <v>-0.29699999999999999</v>
      </c>
    </row>
    <row r="120" spans="11:44" x14ac:dyDescent="0.35">
      <c r="T120" s="206"/>
      <c r="U120" s="206"/>
      <c r="V120" s="206"/>
      <c r="W120" s="206"/>
      <c r="X120" s="206"/>
      <c r="Y120" s="206"/>
      <c r="Z120" s="206"/>
      <c r="AC120" s="7" t="s">
        <v>206</v>
      </c>
      <c r="AL120" s="17" t="s">
        <v>205</v>
      </c>
      <c r="AM120" s="214">
        <v>3.5649999999999999</v>
      </c>
      <c r="AN120" s="214">
        <v>2.2395999999999998</v>
      </c>
    </row>
    <row r="121" spans="11:44" x14ac:dyDescent="0.35">
      <c r="T121" s="206"/>
      <c r="U121" s="206"/>
      <c r="V121" s="206"/>
      <c r="W121" s="206"/>
      <c r="X121" s="206"/>
      <c r="Y121" s="206"/>
      <c r="Z121" s="206"/>
      <c r="AC121" s="17" t="s">
        <v>201</v>
      </c>
      <c r="AD121">
        <v>4.3479999999999998E-2</v>
      </c>
      <c r="AE121">
        <v>4.7600000000000003E-2</v>
      </c>
      <c r="AF121">
        <v>5.5599999999999997E-2</v>
      </c>
      <c r="AL121" s="17"/>
    </row>
    <row r="122" spans="11:44" x14ac:dyDescent="0.35">
      <c r="T122" s="206"/>
      <c r="U122" s="206"/>
      <c r="V122" s="206"/>
      <c r="W122" s="206"/>
      <c r="X122" s="206"/>
      <c r="Y122" s="206"/>
      <c r="Z122" s="206"/>
      <c r="AC122" s="17" t="s">
        <v>205</v>
      </c>
      <c r="AD122">
        <v>0</v>
      </c>
      <c r="AE122">
        <v>0</v>
      </c>
      <c r="AF122">
        <v>0</v>
      </c>
      <c r="AO122" s="34"/>
    </row>
    <row r="123" spans="11:44" x14ac:dyDescent="0.35">
      <c r="T123" s="206"/>
      <c r="U123" s="206"/>
      <c r="V123" s="206"/>
      <c r="W123" s="206"/>
      <c r="X123" s="206"/>
      <c r="Y123" s="206"/>
      <c r="Z123" s="206"/>
      <c r="AN123" s="34"/>
    </row>
    <row r="124" spans="11:44" x14ac:dyDescent="0.35">
      <c r="T124" s="206"/>
      <c r="U124" s="206"/>
      <c r="V124" s="206"/>
      <c r="W124" s="206"/>
      <c r="X124" s="206"/>
      <c r="Y124" s="206"/>
      <c r="Z124" s="206"/>
      <c r="AE124" s="34"/>
    </row>
    <row r="125" spans="11:44" x14ac:dyDescent="0.35">
      <c r="T125" s="206"/>
      <c r="U125" s="206"/>
      <c r="V125" s="206"/>
      <c r="W125" s="206"/>
      <c r="X125" s="206"/>
      <c r="Y125" s="206"/>
      <c r="Z125" s="206"/>
    </row>
    <row r="126" spans="11:44" x14ac:dyDescent="0.35">
      <c r="T126" s="206"/>
      <c r="U126" s="206"/>
      <c r="V126" s="206"/>
      <c r="W126" s="206"/>
      <c r="X126" s="206"/>
      <c r="Y126" s="206"/>
      <c r="Z126" s="206"/>
    </row>
    <row r="127" spans="11:44" x14ac:dyDescent="0.35">
      <c r="T127" s="206"/>
      <c r="U127" s="206"/>
      <c r="V127" s="206"/>
      <c r="W127" s="206"/>
      <c r="X127" s="206"/>
      <c r="Y127" s="206"/>
      <c r="Z127" s="206"/>
    </row>
    <row r="128" spans="11:44" x14ac:dyDescent="0.35">
      <c r="T128" s="206"/>
      <c r="U128" s="206"/>
      <c r="V128" s="206"/>
      <c r="W128" s="206"/>
      <c r="X128" s="206"/>
      <c r="Y128" s="206"/>
      <c r="Z128" s="206"/>
    </row>
    <row r="129" spans="11:26" x14ac:dyDescent="0.35">
      <c r="T129" s="206"/>
      <c r="U129" s="206"/>
      <c r="V129" s="206"/>
      <c r="W129" s="206"/>
      <c r="X129" s="206"/>
      <c r="Y129" s="206"/>
      <c r="Z129" s="206"/>
    </row>
    <row r="130" spans="11:26" x14ac:dyDescent="0.35">
      <c r="O130" s="146"/>
      <c r="P130" s="146"/>
      <c r="Q130" s="146"/>
      <c r="R130" s="181"/>
      <c r="T130" s="206"/>
      <c r="U130" s="206"/>
      <c r="V130" s="206"/>
      <c r="W130" s="206"/>
      <c r="X130" s="206"/>
      <c r="Y130" s="206"/>
      <c r="Z130" s="206"/>
    </row>
    <row r="131" spans="11:26" x14ac:dyDescent="0.35">
      <c r="O131" s="146"/>
      <c r="P131" s="146"/>
      <c r="Q131" s="146"/>
      <c r="R131" s="181"/>
      <c r="T131" s="206"/>
      <c r="U131" s="206"/>
      <c r="V131" s="206"/>
      <c r="W131" s="206"/>
      <c r="X131" s="206"/>
      <c r="Y131" s="206"/>
      <c r="Z131" s="206"/>
    </row>
    <row r="132" spans="11:26" x14ac:dyDescent="0.35">
      <c r="T132" s="206"/>
      <c r="U132" s="206"/>
      <c r="V132" s="206"/>
      <c r="W132" s="206"/>
      <c r="X132" s="206"/>
      <c r="Y132" s="206"/>
      <c r="Z132" s="206"/>
    </row>
    <row r="133" spans="11:26" x14ac:dyDescent="0.35">
      <c r="T133" s="206"/>
      <c r="U133" s="206"/>
      <c r="V133" s="206"/>
      <c r="W133" s="206"/>
      <c r="X133" s="206"/>
      <c r="Y133" s="206"/>
      <c r="Z133" s="206"/>
    </row>
    <row r="134" spans="11:26" x14ac:dyDescent="0.35">
      <c r="T134" s="206"/>
      <c r="U134" s="206"/>
      <c r="V134" s="206"/>
      <c r="W134" s="206"/>
      <c r="X134" s="206"/>
      <c r="Y134" s="206"/>
      <c r="Z134" s="206"/>
    </row>
    <row r="135" spans="11:26" x14ac:dyDescent="0.35">
      <c r="T135" s="206"/>
      <c r="U135" s="206"/>
      <c r="V135" s="206"/>
      <c r="W135" s="206"/>
      <c r="X135" s="206"/>
      <c r="Y135" s="206"/>
      <c r="Z135" s="206"/>
    </row>
    <row r="136" spans="11:26" x14ac:dyDescent="0.35">
      <c r="O136" s="146"/>
      <c r="P136" s="146"/>
      <c r="Q136" s="146"/>
      <c r="R136" s="181"/>
      <c r="T136" s="206"/>
      <c r="U136" s="206"/>
      <c r="V136" s="206"/>
      <c r="W136" s="206"/>
      <c r="X136" s="206"/>
      <c r="Y136" s="206"/>
      <c r="Z136" s="206"/>
    </row>
    <row r="137" spans="11:26" x14ac:dyDescent="0.35">
      <c r="O137" s="146"/>
      <c r="P137" s="146"/>
      <c r="Q137" s="146"/>
      <c r="R137" s="181"/>
      <c r="T137" s="206"/>
      <c r="U137" s="206"/>
      <c r="V137" s="206"/>
      <c r="W137" s="206"/>
      <c r="X137" s="206"/>
      <c r="Y137" s="206"/>
      <c r="Z137" s="206"/>
    </row>
    <row r="138" spans="11:26" x14ac:dyDescent="0.35">
      <c r="T138" s="206"/>
      <c r="U138" s="206"/>
      <c r="V138" s="206"/>
      <c r="W138" s="206"/>
      <c r="X138" s="206"/>
      <c r="Y138" s="206"/>
      <c r="Z138" s="206"/>
    </row>
    <row r="139" spans="11:26" x14ac:dyDescent="0.35">
      <c r="T139" s="206"/>
      <c r="U139" s="206"/>
      <c r="V139" s="206"/>
      <c r="W139" s="206"/>
      <c r="X139" s="206"/>
      <c r="Y139" s="206"/>
      <c r="Z139" s="206"/>
    </row>
    <row r="140" spans="11:26" x14ac:dyDescent="0.35">
      <c r="T140" s="206"/>
      <c r="U140" s="206"/>
      <c r="V140" s="206"/>
      <c r="W140" s="206"/>
      <c r="X140" s="206"/>
      <c r="Y140" s="206"/>
      <c r="Z140" s="206"/>
    </row>
    <row r="144" spans="11:26" ht="15" thickBot="1" x14ac:dyDescent="0.4">
      <c r="K144" t="s">
        <v>233</v>
      </c>
      <c r="T144" s="233" t="s">
        <v>234</v>
      </c>
      <c r="U144" s="234"/>
      <c r="V144" s="234"/>
      <c r="W144" s="206"/>
      <c r="X144" s="206"/>
      <c r="Y144" s="206"/>
      <c r="Z144" s="206"/>
    </row>
    <row r="145" spans="11:44" x14ac:dyDescent="0.35">
      <c r="K145" s="471" t="s">
        <v>130</v>
      </c>
      <c r="L145" s="187">
        <v>1.8</v>
      </c>
      <c r="M145" s="187"/>
      <c r="N145" s="187"/>
      <c r="O145" s="187"/>
      <c r="P145" s="187"/>
      <c r="Q145" s="189">
        <v>1</v>
      </c>
      <c r="T145" s="235" t="s">
        <v>130</v>
      </c>
      <c r="U145" s="236">
        <v>30</v>
      </c>
      <c r="V145" s="236"/>
      <c r="X145" s="236"/>
      <c r="Y145" s="236">
        <v>1</v>
      </c>
      <c r="Z145" s="236">
        <v>0</v>
      </c>
    </row>
    <row r="146" spans="11:44" ht="15" thickBot="1" x14ac:dyDescent="0.4">
      <c r="K146" s="472"/>
      <c r="L146" s="146">
        <v>0.2</v>
      </c>
      <c r="M146" s="146"/>
      <c r="N146" s="146"/>
      <c r="O146" s="146"/>
      <c r="P146" s="146"/>
      <c r="Q146" s="224">
        <v>1</v>
      </c>
      <c r="T146" s="237" t="s">
        <v>131</v>
      </c>
      <c r="U146" s="238">
        <v>0</v>
      </c>
      <c r="V146" s="238">
        <v>0.28999999999999998</v>
      </c>
      <c r="W146" s="239">
        <v>0.3</v>
      </c>
      <c r="X146" s="239">
        <v>0.69</v>
      </c>
      <c r="Y146" s="240">
        <v>0.7</v>
      </c>
      <c r="Z146" s="241">
        <v>1</v>
      </c>
    </row>
    <row r="147" spans="11:44" ht="15" thickBot="1" x14ac:dyDescent="0.4">
      <c r="K147" s="190" t="s">
        <v>131</v>
      </c>
      <c r="L147" s="195">
        <v>0</v>
      </c>
      <c r="M147" s="195">
        <v>0.28999999999999998</v>
      </c>
      <c r="N147" s="196">
        <v>0.3</v>
      </c>
      <c r="O147" s="196">
        <v>0.69</v>
      </c>
      <c r="P147" s="198">
        <v>0.7</v>
      </c>
      <c r="Q147" s="199">
        <v>1</v>
      </c>
      <c r="T147" s="206"/>
      <c r="U147" s="206" t="s">
        <v>235</v>
      </c>
      <c r="V147" s="206" t="s">
        <v>195</v>
      </c>
      <c r="W147" s="206"/>
      <c r="X147" s="206"/>
      <c r="Y147" s="206"/>
      <c r="Z147" s="206"/>
      <c r="AC147" t="s">
        <v>236</v>
      </c>
      <c r="AL147" t="s">
        <v>237</v>
      </c>
    </row>
    <row r="148" spans="11:44" x14ac:dyDescent="0.35">
      <c r="T148" t="s">
        <v>238</v>
      </c>
      <c r="X148" s="206"/>
      <c r="Y148" s="206"/>
      <c r="Z148" s="206"/>
      <c r="AC148" s="182" t="s">
        <v>227</v>
      </c>
      <c r="AD148" s="227">
        <v>0</v>
      </c>
      <c r="AE148" s="242"/>
      <c r="AF148" s="242">
        <v>4.8</v>
      </c>
      <c r="AG148" s="242"/>
      <c r="AH148" s="242">
        <v>11.200000000000001</v>
      </c>
      <c r="AI148" s="243">
        <v>16</v>
      </c>
      <c r="AL148" s="182" t="s">
        <v>190</v>
      </c>
      <c r="AM148" s="187">
        <v>7.8</v>
      </c>
      <c r="AN148" s="187"/>
      <c r="AO148" s="187">
        <v>6.77</v>
      </c>
      <c r="AP148" s="187"/>
      <c r="AQ148" s="187">
        <v>6</v>
      </c>
      <c r="AR148" s="189">
        <v>5.41</v>
      </c>
    </row>
    <row r="149" spans="11:44" ht="15" thickBot="1" x14ac:dyDescent="0.4">
      <c r="L149" t="s">
        <v>239</v>
      </c>
      <c r="M149" t="s">
        <v>220</v>
      </c>
      <c r="T149" s="17" t="s">
        <v>201</v>
      </c>
      <c r="U149" s="244">
        <v>-2.41E-2</v>
      </c>
      <c r="V149">
        <v>-0.3</v>
      </c>
      <c r="W149" s="206"/>
      <c r="X149" s="206"/>
      <c r="Y149" s="206"/>
      <c r="Z149" s="206"/>
      <c r="AC149" s="229" t="s">
        <v>228</v>
      </c>
      <c r="AD149" s="186">
        <v>0</v>
      </c>
      <c r="AE149" s="230"/>
      <c r="AF149" s="230">
        <v>4.2</v>
      </c>
      <c r="AG149" s="230"/>
      <c r="AH149" s="230">
        <v>9.8000000000000007</v>
      </c>
      <c r="AI149" s="231">
        <v>14.000000000000002</v>
      </c>
      <c r="AL149" s="190" t="s">
        <v>192</v>
      </c>
      <c r="AM149" s="202">
        <v>0</v>
      </c>
      <c r="AN149" s="202">
        <v>0.28999999999999998</v>
      </c>
      <c r="AO149" s="203">
        <v>0.3</v>
      </c>
      <c r="AP149" s="203">
        <v>0.69</v>
      </c>
      <c r="AQ149" s="204">
        <v>0.7</v>
      </c>
      <c r="AR149" s="205">
        <v>1</v>
      </c>
    </row>
    <row r="150" spans="11:44" x14ac:dyDescent="0.35">
      <c r="K150" t="s">
        <v>206</v>
      </c>
      <c r="M150" s="17"/>
      <c r="T150" s="17" t="s">
        <v>205</v>
      </c>
      <c r="U150" s="244">
        <v>0.72140000000000004</v>
      </c>
      <c r="V150" s="206">
        <v>1</v>
      </c>
      <c r="W150" s="206"/>
      <c r="X150" s="206"/>
      <c r="Y150" s="206"/>
      <c r="Z150" s="206"/>
      <c r="AC150" s="229" t="s">
        <v>229</v>
      </c>
      <c r="AD150" s="186">
        <v>0</v>
      </c>
      <c r="AE150" s="230"/>
      <c r="AF150" s="230">
        <v>3.5999999999999996</v>
      </c>
      <c r="AG150" s="230"/>
      <c r="AH150" s="230">
        <v>8.4</v>
      </c>
      <c r="AI150" s="231">
        <v>12</v>
      </c>
    </row>
    <row r="151" spans="11:44" ht="15" thickBot="1" x14ac:dyDescent="0.4">
      <c r="K151" s="17" t="s">
        <v>201</v>
      </c>
      <c r="L151">
        <v>1.25</v>
      </c>
      <c r="M151">
        <v>-1.25</v>
      </c>
      <c r="T151" s="207"/>
      <c r="U151" s="206"/>
      <c r="V151" s="206"/>
      <c r="X151" s="206"/>
      <c r="Y151" s="206"/>
      <c r="Z151" s="206"/>
      <c r="AC151" s="190" t="s">
        <v>192</v>
      </c>
      <c r="AD151" s="202">
        <v>0</v>
      </c>
      <c r="AE151" s="202">
        <v>0.28999999999999998</v>
      </c>
      <c r="AF151" s="203">
        <v>0.3</v>
      </c>
      <c r="AG151" s="203">
        <v>0.69</v>
      </c>
      <c r="AH151" s="204">
        <v>0.7</v>
      </c>
      <c r="AI151" s="205">
        <v>1</v>
      </c>
      <c r="AL151" t="s">
        <v>206</v>
      </c>
    </row>
    <row r="152" spans="11:44" x14ac:dyDescent="0.35">
      <c r="K152" s="17" t="s">
        <v>205</v>
      </c>
      <c r="L152">
        <v>-0.25</v>
      </c>
      <c r="M152">
        <v>2.25</v>
      </c>
      <c r="T152" s="17"/>
      <c r="V152" s="34"/>
      <c r="AM152" s="210" t="s">
        <v>222</v>
      </c>
      <c r="AN152" s="210" t="s">
        <v>204</v>
      </c>
    </row>
    <row r="153" spans="11:44" x14ac:dyDescent="0.35">
      <c r="K153" s="17"/>
      <c r="M153" s="34"/>
      <c r="AD153" t="s">
        <v>230</v>
      </c>
      <c r="AE153" t="s">
        <v>231</v>
      </c>
      <c r="AF153" t="s">
        <v>232</v>
      </c>
      <c r="AL153" s="17" t="s">
        <v>201</v>
      </c>
      <c r="AM153" s="214">
        <v>-0.51490000000000002</v>
      </c>
      <c r="AN153" s="214">
        <v>-0.2913</v>
      </c>
    </row>
    <row r="154" spans="11:44" x14ac:dyDescent="0.35">
      <c r="AC154" s="7" t="s">
        <v>206</v>
      </c>
      <c r="AL154" s="17" t="s">
        <v>205</v>
      </c>
      <c r="AM154" s="214">
        <v>3.7871999999999999</v>
      </c>
      <c r="AN154" s="214">
        <v>2.2717999999999998</v>
      </c>
    </row>
    <row r="155" spans="11:44" x14ac:dyDescent="0.35">
      <c r="AC155" s="17" t="s">
        <v>201</v>
      </c>
      <c r="AD155">
        <v>6.25E-2</v>
      </c>
      <c r="AE155">
        <v>7.1400000000000005E-2</v>
      </c>
      <c r="AF155">
        <v>8.3299999999999999E-2</v>
      </c>
      <c r="AL155" s="17"/>
    </row>
    <row r="156" spans="11:44" x14ac:dyDescent="0.35">
      <c r="AC156" s="17" t="s">
        <v>205</v>
      </c>
      <c r="AD156">
        <v>0</v>
      </c>
      <c r="AE156">
        <v>0</v>
      </c>
      <c r="AF156">
        <v>0</v>
      </c>
      <c r="AO156" s="34"/>
    </row>
    <row r="157" spans="11:44" x14ac:dyDescent="0.35">
      <c r="AN157" s="34"/>
    </row>
    <row r="158" spans="11:44" x14ac:dyDescent="0.35">
      <c r="AE158" s="34"/>
    </row>
    <row r="164" spans="15:27" x14ac:dyDescent="0.35">
      <c r="O164" s="146"/>
      <c r="P164" s="146"/>
      <c r="Q164" s="146"/>
      <c r="R164" s="181"/>
    </row>
    <row r="165" spans="15:27" x14ac:dyDescent="0.35">
      <c r="O165" s="146"/>
      <c r="P165" s="146"/>
      <c r="Q165" s="146"/>
      <c r="R165" s="181"/>
    </row>
    <row r="167" spans="15:27" x14ac:dyDescent="0.35">
      <c r="AA167" s="181"/>
    </row>
    <row r="170" spans="15:27" x14ac:dyDescent="0.35">
      <c r="O170" s="146"/>
      <c r="P170" s="146"/>
      <c r="Q170" s="146"/>
      <c r="R170" s="181"/>
    </row>
    <row r="171" spans="15:27" x14ac:dyDescent="0.35">
      <c r="O171" s="146"/>
      <c r="P171" s="146"/>
      <c r="Q171" s="146"/>
      <c r="R171" s="181"/>
    </row>
    <row r="177" spans="20:44" ht="15" thickBot="1" x14ac:dyDescent="0.4">
      <c r="T177" t="s">
        <v>240</v>
      </c>
    </row>
    <row r="178" spans="20:44" x14ac:dyDescent="0.35">
      <c r="T178" s="182" t="s">
        <v>130</v>
      </c>
      <c r="U178" s="187">
        <v>0</v>
      </c>
      <c r="V178" s="187"/>
      <c r="W178" s="187"/>
      <c r="X178" s="187">
        <v>34</v>
      </c>
      <c r="Y178" s="187"/>
      <c r="Z178" s="189">
        <v>50</v>
      </c>
    </row>
    <row r="179" spans="20:44" ht="15" thickBot="1" x14ac:dyDescent="0.4">
      <c r="T179" s="190" t="s">
        <v>131</v>
      </c>
      <c r="U179" s="195">
        <v>0</v>
      </c>
      <c r="V179" s="195">
        <v>0.28999999999999998</v>
      </c>
      <c r="W179" s="196">
        <v>0.3</v>
      </c>
      <c r="X179" s="196">
        <v>0.69</v>
      </c>
      <c r="Y179" s="198">
        <v>0.7</v>
      </c>
      <c r="Z179" s="199">
        <v>1</v>
      </c>
    </row>
    <row r="181" spans="20:44" ht="15" thickBot="1" x14ac:dyDescent="0.4">
      <c r="U181" s="17" t="s">
        <v>194</v>
      </c>
      <c r="V181" s="17" t="s">
        <v>195</v>
      </c>
      <c r="AC181" t="s">
        <v>241</v>
      </c>
      <c r="AL181" t="s">
        <v>242</v>
      </c>
    </row>
    <row r="182" spans="20:44" x14ac:dyDescent="0.35">
      <c r="T182" s="7" t="s">
        <v>206</v>
      </c>
      <c r="AC182" s="182" t="s">
        <v>227</v>
      </c>
      <c r="AD182" s="227">
        <v>0</v>
      </c>
      <c r="AE182" s="242"/>
      <c r="AF182" s="242">
        <v>4.2</v>
      </c>
      <c r="AG182" s="242"/>
      <c r="AH182" s="242">
        <v>9.8000000000000007</v>
      </c>
      <c r="AI182" s="243">
        <v>14.000000000000002</v>
      </c>
      <c r="AL182" s="182" t="s">
        <v>190</v>
      </c>
      <c r="AM182" s="187">
        <v>0</v>
      </c>
      <c r="AN182" s="245"/>
      <c r="AO182" s="187">
        <v>19</v>
      </c>
      <c r="AP182" s="187"/>
      <c r="AQ182" s="187">
        <v>28</v>
      </c>
      <c r="AR182" s="189">
        <v>36</v>
      </c>
    </row>
    <row r="183" spans="20:44" ht="15" thickBot="1" x14ac:dyDescent="0.4">
      <c r="T183" s="17" t="s">
        <v>201</v>
      </c>
      <c r="U183">
        <v>1.9400000000000001E-2</v>
      </c>
      <c r="V183">
        <v>2.0294E-2</v>
      </c>
      <c r="AC183" s="229" t="s">
        <v>228</v>
      </c>
      <c r="AD183" s="186">
        <v>0</v>
      </c>
      <c r="AE183" s="230"/>
      <c r="AF183" s="230">
        <v>4.8</v>
      </c>
      <c r="AG183" s="230"/>
      <c r="AH183" s="230">
        <v>11.200000000000001</v>
      </c>
      <c r="AI183" s="231">
        <v>16</v>
      </c>
      <c r="AL183" s="190" t="s">
        <v>192</v>
      </c>
      <c r="AM183" s="202">
        <v>0</v>
      </c>
      <c r="AN183" s="202">
        <v>0.28999999999999998</v>
      </c>
      <c r="AO183" s="203">
        <v>0.3</v>
      </c>
      <c r="AP183" s="203">
        <v>0.69</v>
      </c>
      <c r="AQ183" s="204">
        <v>0.7</v>
      </c>
      <c r="AR183" s="205">
        <v>1</v>
      </c>
    </row>
    <row r="184" spans="20:44" x14ac:dyDescent="0.35">
      <c r="T184" s="17" t="s">
        <v>205</v>
      </c>
      <c r="U184">
        <v>3.1300000000000001E-2</v>
      </c>
      <c r="V184">
        <v>0</v>
      </c>
      <c r="AC184" s="229" t="s">
        <v>229</v>
      </c>
      <c r="AD184" s="186">
        <v>0</v>
      </c>
      <c r="AE184" s="230"/>
      <c r="AF184" s="230">
        <v>4.5</v>
      </c>
      <c r="AG184" s="230"/>
      <c r="AH184" s="230">
        <v>10.5</v>
      </c>
      <c r="AI184" s="231">
        <v>15</v>
      </c>
    </row>
    <row r="185" spans="20:44" ht="15" thickBot="1" x14ac:dyDescent="0.4">
      <c r="T185" s="17"/>
      <c r="V185" s="34"/>
      <c r="AC185" s="190" t="s">
        <v>192</v>
      </c>
      <c r="AD185" s="202">
        <v>0</v>
      </c>
      <c r="AE185" s="202">
        <v>0.28999999999999998</v>
      </c>
      <c r="AF185" s="203">
        <v>0.3</v>
      </c>
      <c r="AG185" s="203">
        <v>0.69</v>
      </c>
      <c r="AH185" s="204">
        <v>0.7</v>
      </c>
      <c r="AI185" s="205">
        <v>1</v>
      </c>
      <c r="AL185" t="s">
        <v>212</v>
      </c>
      <c r="AM185" t="s">
        <v>197</v>
      </c>
      <c r="AN185" s="225" t="s">
        <v>221</v>
      </c>
      <c r="AO185" s="225"/>
    </row>
    <row r="186" spans="20:44" x14ac:dyDescent="0.35">
      <c r="AM186" s="210" t="s">
        <v>204</v>
      </c>
      <c r="AN186" s="210" t="s">
        <v>222</v>
      </c>
      <c r="AP186" s="7"/>
    </row>
    <row r="187" spans="20:44" x14ac:dyDescent="0.35">
      <c r="AD187" t="s">
        <v>230</v>
      </c>
      <c r="AE187" t="s">
        <v>231</v>
      </c>
      <c r="AF187" t="s">
        <v>232</v>
      </c>
      <c r="AL187" s="17" t="s">
        <v>201</v>
      </c>
      <c r="AM187" s="214">
        <v>1.5800000000000002E-2</v>
      </c>
      <c r="AN187">
        <v>-4.0000000000000002E-4</v>
      </c>
      <c r="AO187" s="34"/>
    </row>
    <row r="188" spans="20:44" x14ac:dyDescent="0.35">
      <c r="AC188" s="7" t="s">
        <v>206</v>
      </c>
      <c r="AL188" s="17" t="s">
        <v>205</v>
      </c>
      <c r="AM188" s="214">
        <v>0</v>
      </c>
      <c r="AN188" s="214">
        <v>6.3600000000000004E-2</v>
      </c>
    </row>
    <row r="189" spans="20:44" x14ac:dyDescent="0.35">
      <c r="AC189" s="17" t="s">
        <v>201</v>
      </c>
      <c r="AD189">
        <v>7.1400000000000005E-2</v>
      </c>
      <c r="AE189">
        <v>6.25E-2</v>
      </c>
      <c r="AF189">
        <v>6.6699999999999995E-2</v>
      </c>
      <c r="AL189" s="17" t="s">
        <v>223</v>
      </c>
      <c r="AN189">
        <v>-0.76180000000000003</v>
      </c>
    </row>
    <row r="190" spans="20:44" x14ac:dyDescent="0.35">
      <c r="AC190" s="17" t="s">
        <v>205</v>
      </c>
      <c r="AD190">
        <v>0</v>
      </c>
      <c r="AE190">
        <v>0</v>
      </c>
      <c r="AF190">
        <v>0</v>
      </c>
    </row>
    <row r="192" spans="20:44" x14ac:dyDescent="0.35">
      <c r="AE192" s="34"/>
    </row>
    <row r="211" spans="20:44" ht="15" thickBot="1" x14ac:dyDescent="0.4">
      <c r="T211" t="s">
        <v>243</v>
      </c>
    </row>
    <row r="212" spans="20:44" x14ac:dyDescent="0.35">
      <c r="T212" s="182" t="s">
        <v>130</v>
      </c>
      <c r="U212" s="187">
        <v>0</v>
      </c>
      <c r="V212" s="187"/>
      <c r="W212" s="187"/>
      <c r="X212" s="187"/>
      <c r="Y212" s="187">
        <v>35</v>
      </c>
      <c r="Z212" s="189">
        <v>100</v>
      </c>
    </row>
    <row r="213" spans="20:44" ht="15" thickBot="1" x14ac:dyDescent="0.4">
      <c r="T213" s="190" t="s">
        <v>131</v>
      </c>
      <c r="U213" s="202">
        <v>0</v>
      </c>
      <c r="V213" s="202">
        <v>0.28999999999999998</v>
      </c>
      <c r="W213" s="203">
        <v>0.3</v>
      </c>
      <c r="X213" s="203">
        <v>0.69</v>
      </c>
      <c r="Y213" s="204">
        <v>0.7</v>
      </c>
      <c r="Z213" s="205">
        <v>1</v>
      </c>
    </row>
    <row r="215" spans="20:44" ht="15" thickBot="1" x14ac:dyDescent="0.4">
      <c r="U215" s="17" t="s">
        <v>194</v>
      </c>
      <c r="V215" s="17" t="s">
        <v>195</v>
      </c>
      <c r="AC215" t="s">
        <v>244</v>
      </c>
      <c r="AL215" t="s">
        <v>245</v>
      </c>
    </row>
    <row r="216" spans="20:44" x14ac:dyDescent="0.35">
      <c r="T216" s="7" t="s">
        <v>206</v>
      </c>
      <c r="AC216" s="182" t="s">
        <v>227</v>
      </c>
      <c r="AD216" s="227">
        <v>0</v>
      </c>
      <c r="AE216" s="187"/>
      <c r="AF216" s="187">
        <v>5.4</v>
      </c>
      <c r="AG216" s="187"/>
      <c r="AH216" s="187">
        <v>12.6</v>
      </c>
      <c r="AI216" s="189">
        <v>18</v>
      </c>
      <c r="AL216" s="182" t="s">
        <v>190</v>
      </c>
      <c r="AM216" s="187">
        <v>0</v>
      </c>
      <c r="AN216" s="245"/>
      <c r="AO216" s="187">
        <v>14</v>
      </c>
      <c r="AP216" s="187"/>
      <c r="AQ216" s="187">
        <v>21</v>
      </c>
      <c r="AR216" s="189">
        <v>28</v>
      </c>
    </row>
    <row r="217" spans="20:44" ht="15" thickBot="1" x14ac:dyDescent="0.4">
      <c r="T217" s="17" t="s">
        <v>201</v>
      </c>
      <c r="U217">
        <v>2.0299999999999999E-2</v>
      </c>
      <c r="V217" s="246">
        <v>4.6153799999999997E-3</v>
      </c>
      <c r="AC217" s="229" t="s">
        <v>228</v>
      </c>
      <c r="AD217" s="186">
        <v>0</v>
      </c>
      <c r="AE217" s="230"/>
      <c r="AF217" s="230">
        <v>3.5999999999999996</v>
      </c>
      <c r="AG217" s="230"/>
      <c r="AH217" s="230">
        <v>8.4</v>
      </c>
      <c r="AI217" s="231">
        <v>12</v>
      </c>
      <c r="AL217" s="190" t="s">
        <v>192</v>
      </c>
      <c r="AM217" s="247">
        <v>0</v>
      </c>
      <c r="AN217" s="202">
        <v>0.28999999999999998</v>
      </c>
      <c r="AO217" s="203">
        <v>0.3</v>
      </c>
      <c r="AP217" s="203">
        <v>0.69</v>
      </c>
      <c r="AQ217" s="198">
        <v>0.7</v>
      </c>
      <c r="AR217" s="248">
        <v>1</v>
      </c>
    </row>
    <row r="218" spans="20:44" x14ac:dyDescent="0.35">
      <c r="T218" s="17" t="s">
        <v>205</v>
      </c>
      <c r="U218">
        <v>0</v>
      </c>
      <c r="V218" s="246">
        <v>0.53846154000000002</v>
      </c>
      <c r="AC218" s="229" t="s">
        <v>229</v>
      </c>
      <c r="AD218" s="186">
        <v>0</v>
      </c>
      <c r="AE218" s="146"/>
      <c r="AF218" s="146">
        <v>4.2</v>
      </c>
      <c r="AG218" s="146"/>
      <c r="AH218" s="146">
        <v>9.8000000000000007</v>
      </c>
      <c r="AI218" s="224">
        <v>14.000000000000002</v>
      </c>
    </row>
    <row r="219" spans="20:44" ht="15" thickBot="1" x14ac:dyDescent="0.4">
      <c r="T219" s="17"/>
      <c r="AC219" s="190" t="s">
        <v>192</v>
      </c>
      <c r="AD219" s="202">
        <v>0</v>
      </c>
      <c r="AE219" s="202">
        <v>0.28999999999999998</v>
      </c>
      <c r="AF219" s="203">
        <v>0.3</v>
      </c>
      <c r="AG219" s="203">
        <v>0.69</v>
      </c>
      <c r="AH219" s="204">
        <v>0.7</v>
      </c>
      <c r="AI219" s="205">
        <v>1</v>
      </c>
      <c r="AL219" t="s">
        <v>212</v>
      </c>
      <c r="AM219" t="s">
        <v>197</v>
      </c>
      <c r="AN219" s="225" t="s">
        <v>221</v>
      </c>
      <c r="AO219" s="225"/>
    </row>
    <row r="220" spans="20:44" x14ac:dyDescent="0.35">
      <c r="AM220" s="210" t="s">
        <v>204</v>
      </c>
      <c r="AN220" s="210" t="s">
        <v>203</v>
      </c>
      <c r="AO220" s="210" t="s">
        <v>195</v>
      </c>
      <c r="AP220" s="7"/>
    </row>
    <row r="221" spans="20:44" x14ac:dyDescent="0.35">
      <c r="AD221" t="s">
        <v>230</v>
      </c>
      <c r="AE221" t="s">
        <v>231</v>
      </c>
      <c r="AF221" t="s">
        <v>232</v>
      </c>
      <c r="AL221" s="17" t="s">
        <v>201</v>
      </c>
      <c r="AM221" s="214">
        <v>2.1399999999999999E-2</v>
      </c>
      <c r="AN221" s="249">
        <v>5.7099999999999998E-2</v>
      </c>
      <c r="AO221" s="34">
        <v>4.2900000000000001E-2</v>
      </c>
    </row>
    <row r="222" spans="20:44" x14ac:dyDescent="0.35">
      <c r="AC222" t="s">
        <v>206</v>
      </c>
      <c r="AL222" s="17" t="s">
        <v>205</v>
      </c>
      <c r="AM222" s="250">
        <v>-4.0000000000000003E-17</v>
      </c>
      <c r="AN222" s="251">
        <v>-0.5</v>
      </c>
      <c r="AO222">
        <v>-0.2</v>
      </c>
    </row>
    <row r="223" spans="20:44" x14ac:dyDescent="0.35">
      <c r="AC223" s="17" t="s">
        <v>201</v>
      </c>
      <c r="AD223">
        <v>5.5599999999999997E-2</v>
      </c>
      <c r="AE223">
        <v>8.3299999999999999E-2</v>
      </c>
      <c r="AF223">
        <v>7.1400000000000005E-2</v>
      </c>
      <c r="AL223" s="17"/>
      <c r="AN223" s="252"/>
    </row>
    <row r="224" spans="20:44" x14ac:dyDescent="0.35">
      <c r="AC224" s="17" t="s">
        <v>205</v>
      </c>
      <c r="AD224">
        <v>0</v>
      </c>
      <c r="AE224">
        <v>0</v>
      </c>
      <c r="AF224">
        <v>0</v>
      </c>
    </row>
    <row r="226" spans="31:31" x14ac:dyDescent="0.35">
      <c r="AE226" s="34"/>
    </row>
    <row r="245" spans="20:44" ht="15" thickBot="1" x14ac:dyDescent="0.4">
      <c r="T245" t="s">
        <v>246</v>
      </c>
    </row>
    <row r="246" spans="20:44" x14ac:dyDescent="0.35">
      <c r="T246" s="182" t="s">
        <v>130</v>
      </c>
      <c r="U246" s="187">
        <v>0</v>
      </c>
      <c r="V246" s="187"/>
      <c r="W246" s="187">
        <v>40</v>
      </c>
      <c r="X246" s="187"/>
      <c r="Y246" s="187"/>
      <c r="Z246" s="189">
        <v>100</v>
      </c>
    </row>
    <row r="247" spans="20:44" ht="15" thickBot="1" x14ac:dyDescent="0.4">
      <c r="T247" s="190" t="s">
        <v>131</v>
      </c>
      <c r="U247" s="202">
        <v>0</v>
      </c>
      <c r="V247" s="202">
        <v>0.2</v>
      </c>
      <c r="W247" s="203">
        <v>0.3</v>
      </c>
      <c r="X247" s="203">
        <v>0.6</v>
      </c>
      <c r="Y247" s="204">
        <v>0.7</v>
      </c>
      <c r="Z247" s="205">
        <v>1</v>
      </c>
    </row>
    <row r="249" spans="20:44" x14ac:dyDescent="0.35">
      <c r="U249" s="7" t="s">
        <v>206</v>
      </c>
    </row>
    <row r="250" spans="20:44" x14ac:dyDescent="0.35">
      <c r="U250" t="s">
        <v>204</v>
      </c>
      <c r="V250" t="s">
        <v>247</v>
      </c>
    </row>
    <row r="251" spans="20:44" ht="15" thickBot="1" x14ac:dyDescent="0.4">
      <c r="T251" s="17" t="s">
        <v>201</v>
      </c>
      <c r="U251" s="253">
        <v>7.4999999999999997E-3</v>
      </c>
      <c r="V251">
        <v>1.17E-2</v>
      </c>
      <c r="AC251" t="s">
        <v>248</v>
      </c>
      <c r="AL251" t="s">
        <v>249</v>
      </c>
    </row>
    <row r="252" spans="20:44" x14ac:dyDescent="0.35">
      <c r="T252" s="17" t="s">
        <v>205</v>
      </c>
      <c r="U252">
        <v>0</v>
      </c>
      <c r="V252">
        <v>-0.16669999999999999</v>
      </c>
      <c r="X252" s="4"/>
      <c r="AC252" s="182" t="s">
        <v>227</v>
      </c>
      <c r="AD252" s="227">
        <v>0</v>
      </c>
      <c r="AE252" s="242"/>
      <c r="AF252" s="242">
        <v>3.5999999999999996</v>
      </c>
      <c r="AG252" s="242"/>
      <c r="AH252" s="242">
        <v>8.4</v>
      </c>
      <c r="AI252" s="243">
        <v>12</v>
      </c>
      <c r="AL252" s="182" t="s">
        <v>190</v>
      </c>
      <c r="AM252" s="187">
        <v>0</v>
      </c>
      <c r="AN252" s="245"/>
      <c r="AO252" s="187">
        <v>12</v>
      </c>
      <c r="AP252" s="187"/>
      <c r="AQ252" s="187">
        <v>18</v>
      </c>
      <c r="AR252" s="189">
        <v>34</v>
      </c>
    </row>
    <row r="253" spans="20:44" ht="15" thickBot="1" x14ac:dyDescent="0.4">
      <c r="V253" s="34"/>
      <c r="Z253" s="34"/>
      <c r="AC253" s="229" t="s">
        <v>228</v>
      </c>
      <c r="AD253" s="186">
        <v>0</v>
      </c>
      <c r="AE253" s="230"/>
      <c r="AF253" s="230">
        <v>1.5</v>
      </c>
      <c r="AG253" s="230"/>
      <c r="AH253" s="230">
        <v>3.5000000000000004</v>
      </c>
      <c r="AI253" s="231">
        <v>5</v>
      </c>
      <c r="AL253" s="190" t="s">
        <v>192</v>
      </c>
      <c r="AM253" s="202">
        <v>0</v>
      </c>
      <c r="AN253" s="202">
        <v>0.28999999999999998</v>
      </c>
      <c r="AO253" s="203">
        <v>0.3</v>
      </c>
      <c r="AP253" s="203">
        <v>0.69</v>
      </c>
      <c r="AQ253" s="204">
        <v>0.7</v>
      </c>
      <c r="AR253" s="205">
        <v>1</v>
      </c>
    </row>
    <row r="254" spans="20:44" x14ac:dyDescent="0.35">
      <c r="V254" s="34"/>
      <c r="Z254" s="34"/>
      <c r="AC254" s="229" t="s">
        <v>229</v>
      </c>
      <c r="AD254" s="186">
        <v>0</v>
      </c>
      <c r="AE254" s="230"/>
      <c r="AF254" s="230">
        <v>2.4</v>
      </c>
      <c r="AG254" s="230"/>
      <c r="AH254" s="230">
        <v>5.6000000000000005</v>
      </c>
      <c r="AI254" s="231">
        <v>8</v>
      </c>
    </row>
    <row r="255" spans="20:44" ht="15" thickBot="1" x14ac:dyDescent="0.4">
      <c r="AC255" s="190" t="s">
        <v>192</v>
      </c>
      <c r="AD255" s="202">
        <v>0</v>
      </c>
      <c r="AE255" s="202">
        <v>0.28999999999999998</v>
      </c>
      <c r="AF255" s="203">
        <v>0.3</v>
      </c>
      <c r="AG255" s="203">
        <v>0.69</v>
      </c>
      <c r="AH255" s="204">
        <v>0.7</v>
      </c>
      <c r="AI255" s="205">
        <v>1</v>
      </c>
      <c r="AL255" t="s">
        <v>212</v>
      </c>
      <c r="AM255" t="s">
        <v>197</v>
      </c>
    </row>
    <row r="256" spans="20:44" x14ac:dyDescent="0.35">
      <c r="AL256" s="17"/>
      <c r="AM256" t="s">
        <v>204</v>
      </c>
      <c r="AN256" t="s">
        <v>203</v>
      </c>
      <c r="AO256" t="s">
        <v>195</v>
      </c>
      <c r="AP256" s="7"/>
    </row>
    <row r="257" spans="29:41" x14ac:dyDescent="0.35">
      <c r="AD257" t="s">
        <v>230</v>
      </c>
      <c r="AE257" t="s">
        <v>231</v>
      </c>
      <c r="AF257" t="s">
        <v>232</v>
      </c>
      <c r="AL257" s="17" t="s">
        <v>201</v>
      </c>
      <c r="AM257">
        <v>2.5000000000000001E-2</v>
      </c>
      <c r="AN257" s="34">
        <v>6.6699999999999995E-2</v>
      </c>
      <c r="AO257" s="34">
        <v>1.8800000000000001E-2</v>
      </c>
    </row>
    <row r="258" spans="29:41" x14ac:dyDescent="0.35">
      <c r="AC258" t="s">
        <v>206</v>
      </c>
      <c r="AL258" s="17" t="s">
        <v>205</v>
      </c>
      <c r="AN258" s="34">
        <v>-0.5</v>
      </c>
      <c r="AO258">
        <v>0.36249999999999999</v>
      </c>
    </row>
    <row r="259" spans="29:41" x14ac:dyDescent="0.35">
      <c r="AC259" s="17" t="s">
        <v>201</v>
      </c>
      <c r="AD259">
        <v>8.3299999999999999E-2</v>
      </c>
      <c r="AE259">
        <v>0.2</v>
      </c>
      <c r="AF259">
        <v>0.125</v>
      </c>
      <c r="AL259" s="17"/>
    </row>
    <row r="260" spans="29:41" x14ac:dyDescent="0.35">
      <c r="AC260" s="17" t="s">
        <v>205</v>
      </c>
      <c r="AD260">
        <v>0</v>
      </c>
      <c r="AE260">
        <v>0</v>
      </c>
      <c r="AF260">
        <v>0</v>
      </c>
    </row>
    <row r="262" spans="29:41" x14ac:dyDescent="0.35">
      <c r="AE262" s="34"/>
    </row>
    <row r="277" spans="20:44" ht="15" thickBot="1" x14ac:dyDescent="0.4">
      <c r="T277" t="s">
        <v>250</v>
      </c>
      <c r="U277" s="254" t="s">
        <v>251</v>
      </c>
    </row>
    <row r="278" spans="20:44" x14ac:dyDescent="0.35">
      <c r="T278" s="182" t="s">
        <v>130</v>
      </c>
      <c r="U278" s="187">
        <v>0</v>
      </c>
      <c r="V278" s="187"/>
      <c r="W278" s="187"/>
      <c r="X278" s="187"/>
      <c r="Y278" s="187"/>
      <c r="Z278" s="189">
        <v>250</v>
      </c>
    </row>
    <row r="279" spans="20:44" x14ac:dyDescent="0.35">
      <c r="T279" s="200"/>
      <c r="X279">
        <v>366</v>
      </c>
      <c r="Z279" s="201">
        <v>330</v>
      </c>
    </row>
    <row r="280" spans="20:44" ht="15" thickBot="1" x14ac:dyDescent="0.4">
      <c r="T280" s="190" t="s">
        <v>131</v>
      </c>
      <c r="U280" s="202">
        <v>0</v>
      </c>
      <c r="V280" s="202">
        <v>0.28999999999999998</v>
      </c>
      <c r="W280" s="203">
        <v>0.3</v>
      </c>
      <c r="X280" s="203">
        <v>0.5</v>
      </c>
      <c r="Y280" s="204">
        <v>0.7</v>
      </c>
      <c r="Z280" s="205">
        <v>1</v>
      </c>
    </row>
    <row r="282" spans="20:44" x14ac:dyDescent="0.35">
      <c r="T282" s="7" t="s">
        <v>202</v>
      </c>
    </row>
    <row r="283" spans="20:44" x14ac:dyDescent="0.35">
      <c r="T283" s="17" t="s">
        <v>201</v>
      </c>
      <c r="U283">
        <v>4.0000000000000001E-3</v>
      </c>
      <c r="V283">
        <v>-1.3899999999999999E-2</v>
      </c>
    </row>
    <row r="284" spans="20:44" x14ac:dyDescent="0.35">
      <c r="T284" s="17" t="s">
        <v>205</v>
      </c>
      <c r="U284">
        <f>0</f>
        <v>0</v>
      </c>
      <c r="V284">
        <v>5.5833000000000004</v>
      </c>
    </row>
    <row r="285" spans="20:44" ht="15" thickBot="1" x14ac:dyDescent="0.4">
      <c r="V285" s="34"/>
      <c r="AC285" t="s">
        <v>252</v>
      </c>
      <c r="AL285" t="s">
        <v>253</v>
      </c>
    </row>
    <row r="286" spans="20:44" x14ac:dyDescent="0.35">
      <c r="AC286" s="182" t="s">
        <v>227</v>
      </c>
      <c r="AD286" s="227">
        <v>0</v>
      </c>
      <c r="AE286" s="242"/>
      <c r="AF286" s="242">
        <v>2.4</v>
      </c>
      <c r="AG286" s="242"/>
      <c r="AH286" s="242">
        <v>5.6000000000000005</v>
      </c>
      <c r="AI286" s="243">
        <v>8</v>
      </c>
      <c r="AL286" s="182" t="s">
        <v>190</v>
      </c>
      <c r="AM286" s="187">
        <v>0</v>
      </c>
      <c r="AN286" s="245"/>
      <c r="AO286" s="187">
        <v>20</v>
      </c>
      <c r="AP286" s="187"/>
      <c r="AQ286" s="187">
        <v>34</v>
      </c>
      <c r="AR286" s="189">
        <v>44</v>
      </c>
    </row>
    <row r="287" spans="20:44" ht="15" thickBot="1" x14ac:dyDescent="0.4">
      <c r="AC287" s="229" t="s">
        <v>228</v>
      </c>
      <c r="AD287" s="186">
        <v>0</v>
      </c>
      <c r="AE287" s="230"/>
      <c r="AF287" s="230">
        <v>2.1</v>
      </c>
      <c r="AG287" s="230"/>
      <c r="AH287" s="230">
        <v>4.9000000000000004</v>
      </c>
      <c r="AI287" s="231">
        <v>7.0000000000000009</v>
      </c>
      <c r="AL287" s="190" t="s">
        <v>192</v>
      </c>
      <c r="AM287" s="202">
        <v>0</v>
      </c>
      <c r="AN287" s="202">
        <v>0.28999999999999998</v>
      </c>
      <c r="AO287" s="203">
        <v>0.3</v>
      </c>
      <c r="AP287" s="203">
        <v>0.69</v>
      </c>
      <c r="AQ287" s="204">
        <v>0.7</v>
      </c>
      <c r="AR287" s="205">
        <v>1</v>
      </c>
    </row>
    <row r="288" spans="20:44" x14ac:dyDescent="0.35">
      <c r="AC288" s="229" t="s">
        <v>229</v>
      </c>
      <c r="AD288" s="186">
        <v>0</v>
      </c>
      <c r="AE288" s="230"/>
      <c r="AF288" s="230">
        <v>2.4</v>
      </c>
      <c r="AG288" s="230"/>
      <c r="AH288" s="230">
        <v>5.6000000000000005</v>
      </c>
      <c r="AI288" s="231">
        <v>8</v>
      </c>
    </row>
    <row r="289" spans="29:42" ht="15" thickBot="1" x14ac:dyDescent="0.4">
      <c r="AC289" s="190" t="s">
        <v>192</v>
      </c>
      <c r="AD289" s="202">
        <v>0</v>
      </c>
      <c r="AE289" s="202">
        <v>0.28999999999999998</v>
      </c>
      <c r="AF289" s="203">
        <v>0.3</v>
      </c>
      <c r="AG289" s="203">
        <v>0.69</v>
      </c>
      <c r="AH289" s="204">
        <v>0.7</v>
      </c>
      <c r="AI289" s="205">
        <v>1</v>
      </c>
      <c r="AL289" t="s">
        <v>212</v>
      </c>
      <c r="AM289" t="s">
        <v>197</v>
      </c>
    </row>
    <row r="290" spans="29:42" x14ac:dyDescent="0.35">
      <c r="AM290" t="s">
        <v>204</v>
      </c>
      <c r="AN290" t="s">
        <v>222</v>
      </c>
      <c r="AP290" s="7"/>
    </row>
    <row r="291" spans="29:42" x14ac:dyDescent="0.35">
      <c r="AD291" t="s">
        <v>230</v>
      </c>
      <c r="AE291" t="s">
        <v>231</v>
      </c>
      <c r="AF291" t="s">
        <v>232</v>
      </c>
      <c r="AL291" s="17" t="s">
        <v>201</v>
      </c>
      <c r="AM291">
        <v>1.4999999999999999E-2</v>
      </c>
      <c r="AN291" s="34">
        <v>2.9100000000000001E-2</v>
      </c>
      <c r="AO291" s="34"/>
    </row>
    <row r="292" spans="29:42" x14ac:dyDescent="0.35">
      <c r="AC292" t="s">
        <v>206</v>
      </c>
      <c r="AL292" s="17" t="s">
        <v>205</v>
      </c>
      <c r="AM292">
        <v>0</v>
      </c>
      <c r="AN292" s="34">
        <v>-0.28489999999999999</v>
      </c>
    </row>
    <row r="293" spans="29:42" x14ac:dyDescent="0.35">
      <c r="AC293" s="17" t="s">
        <v>201</v>
      </c>
      <c r="AD293">
        <v>0.125</v>
      </c>
      <c r="AE293">
        <v>0.1429</v>
      </c>
      <c r="AF293">
        <v>0.125</v>
      </c>
      <c r="AL293" s="17"/>
    </row>
    <row r="294" spans="29:42" x14ac:dyDescent="0.35">
      <c r="AC294" s="17" t="s">
        <v>205</v>
      </c>
      <c r="AD294">
        <v>0</v>
      </c>
      <c r="AE294">
        <v>0</v>
      </c>
      <c r="AF294">
        <v>0</v>
      </c>
    </row>
    <row r="296" spans="29:42" x14ac:dyDescent="0.35">
      <c r="AE296" s="34"/>
    </row>
    <row r="313" spans="19:44" ht="15" thickBot="1" x14ac:dyDescent="0.4">
      <c r="T313" t="s">
        <v>254</v>
      </c>
      <c r="V313" s="254" t="s">
        <v>255</v>
      </c>
    </row>
    <row r="314" spans="19:44" x14ac:dyDescent="0.35">
      <c r="T314" s="182" t="s">
        <v>130</v>
      </c>
      <c r="U314" s="187">
        <v>50</v>
      </c>
      <c r="V314" s="187"/>
      <c r="W314" s="187"/>
      <c r="X314" s="187">
        <v>25</v>
      </c>
      <c r="Y314" s="187"/>
      <c r="Z314" s="189">
        <v>0</v>
      </c>
    </row>
    <row r="315" spans="19:44" x14ac:dyDescent="0.35">
      <c r="T315" s="200"/>
      <c r="Z315" s="201"/>
    </row>
    <row r="316" spans="19:44" ht="15" thickBot="1" x14ac:dyDescent="0.4">
      <c r="T316" s="190" t="s">
        <v>131</v>
      </c>
      <c r="U316" s="202">
        <v>0</v>
      </c>
      <c r="V316" s="202">
        <v>0.28999999999999998</v>
      </c>
      <c r="W316" s="203">
        <v>0.3</v>
      </c>
      <c r="X316" s="203">
        <v>0.5</v>
      </c>
      <c r="Y316" s="204">
        <v>0.7</v>
      </c>
      <c r="Z316" s="205">
        <v>1</v>
      </c>
    </row>
    <row r="317" spans="19:44" ht="15" thickBot="1" x14ac:dyDescent="0.4">
      <c r="S317" s="7"/>
      <c r="T317" s="7" t="s">
        <v>202</v>
      </c>
      <c r="AC317" t="s">
        <v>256</v>
      </c>
    </row>
    <row r="318" spans="19:44" ht="15" thickBot="1" x14ac:dyDescent="0.4">
      <c r="T318" s="17" t="s">
        <v>201</v>
      </c>
      <c r="U318">
        <v>-0.02</v>
      </c>
      <c r="AC318" s="182" t="s">
        <v>227</v>
      </c>
      <c r="AD318" s="227">
        <v>0</v>
      </c>
      <c r="AE318" s="187"/>
      <c r="AF318" s="187">
        <v>9.9</v>
      </c>
      <c r="AG318" s="187"/>
      <c r="AH318" s="187">
        <v>23.1</v>
      </c>
      <c r="AI318" s="189">
        <v>33</v>
      </c>
      <c r="AL318" t="s">
        <v>257</v>
      </c>
    </row>
    <row r="319" spans="19:44" x14ac:dyDescent="0.35">
      <c r="T319" s="17" t="s">
        <v>205</v>
      </c>
      <c r="U319">
        <v>1</v>
      </c>
      <c r="AC319" s="229" t="s">
        <v>228</v>
      </c>
      <c r="AD319" s="186">
        <v>0</v>
      </c>
      <c r="AE319" s="230"/>
      <c r="AF319" s="230">
        <v>4.2</v>
      </c>
      <c r="AG319" s="230"/>
      <c r="AH319" s="230">
        <v>9.8000000000000007</v>
      </c>
      <c r="AI319" s="231">
        <v>14.000000000000002</v>
      </c>
      <c r="AL319" s="182" t="s">
        <v>190</v>
      </c>
      <c r="AM319" s="187">
        <v>0</v>
      </c>
      <c r="AN319" s="187"/>
      <c r="AO319" s="187">
        <v>14</v>
      </c>
      <c r="AP319" s="187"/>
      <c r="AQ319" s="187">
        <v>26</v>
      </c>
      <c r="AR319" s="189">
        <v>34</v>
      </c>
    </row>
    <row r="320" spans="19:44" ht="15" thickBot="1" x14ac:dyDescent="0.4">
      <c r="T320" t="s">
        <v>258</v>
      </c>
      <c r="V320" s="34"/>
      <c r="AC320" s="229" t="s">
        <v>229</v>
      </c>
      <c r="AD320" s="186">
        <v>0</v>
      </c>
      <c r="AE320" s="146"/>
      <c r="AF320" s="146">
        <v>7.5</v>
      </c>
      <c r="AG320" s="146"/>
      <c r="AH320" s="146">
        <v>17.5</v>
      </c>
      <c r="AI320" s="224">
        <v>25</v>
      </c>
      <c r="AL320" s="190" t="s">
        <v>192</v>
      </c>
      <c r="AM320" s="202">
        <v>0</v>
      </c>
      <c r="AN320" s="202">
        <v>0.28999999999999998</v>
      </c>
      <c r="AO320" s="203">
        <v>0.3</v>
      </c>
      <c r="AP320" s="203">
        <v>0.69</v>
      </c>
      <c r="AQ320" s="204">
        <v>0.7</v>
      </c>
      <c r="AR320" s="205">
        <v>1</v>
      </c>
    </row>
    <row r="321" spans="29:42" ht="15" thickBot="1" x14ac:dyDescent="0.4">
      <c r="AC321" s="190" t="s">
        <v>192</v>
      </c>
      <c r="AD321" s="202">
        <v>0</v>
      </c>
      <c r="AE321" s="202">
        <v>0.28999999999999998</v>
      </c>
      <c r="AF321" s="203">
        <v>0.3</v>
      </c>
      <c r="AG321" s="203">
        <v>0.69</v>
      </c>
      <c r="AH321" s="204">
        <v>0.7</v>
      </c>
      <c r="AI321" s="205">
        <v>1</v>
      </c>
    </row>
    <row r="322" spans="29:42" x14ac:dyDescent="0.35">
      <c r="AL322" s="7" t="s">
        <v>259</v>
      </c>
      <c r="AM322" t="s">
        <v>197</v>
      </c>
      <c r="AN322" t="s">
        <v>221</v>
      </c>
    </row>
    <row r="323" spans="29:42" x14ac:dyDescent="0.35">
      <c r="AD323" t="s">
        <v>230</v>
      </c>
      <c r="AE323" t="s">
        <v>231</v>
      </c>
      <c r="AF323" t="s">
        <v>232</v>
      </c>
      <c r="AL323" s="17"/>
      <c r="AM323" t="s">
        <v>204</v>
      </c>
      <c r="AN323" t="s">
        <v>222</v>
      </c>
      <c r="AP323" s="17"/>
    </row>
    <row r="324" spans="29:42" x14ac:dyDescent="0.35">
      <c r="AC324" t="s">
        <v>206</v>
      </c>
      <c r="AL324" s="17" t="s">
        <v>201</v>
      </c>
      <c r="AM324">
        <v>2.1428571399999999E-2</v>
      </c>
      <c r="AN324" s="34">
        <v>2.0000000000000001E-4</v>
      </c>
      <c r="AO324" s="34"/>
    </row>
    <row r="325" spans="29:42" x14ac:dyDescent="0.35">
      <c r="AC325" s="17" t="s">
        <v>201</v>
      </c>
      <c r="AD325">
        <v>3.0300000000000001E-2</v>
      </c>
      <c r="AE325">
        <v>7.1400000000000005E-2</v>
      </c>
      <c r="AF325">
        <v>0.04</v>
      </c>
      <c r="AL325" s="17" t="s">
        <v>205</v>
      </c>
      <c r="AM325">
        <v>0</v>
      </c>
      <c r="AN325" s="34">
        <v>2.5000000000000001E-2</v>
      </c>
    </row>
    <row r="326" spans="29:42" x14ac:dyDescent="0.35">
      <c r="AC326" s="17" t="s">
        <v>205</v>
      </c>
      <c r="AD326">
        <v>0</v>
      </c>
      <c r="AE326">
        <v>0</v>
      </c>
      <c r="AF326">
        <v>0</v>
      </c>
      <c r="AL326" s="17" t="s">
        <v>223</v>
      </c>
      <c r="AN326">
        <v>-9.0800000000000006E-2</v>
      </c>
    </row>
    <row r="328" spans="29:42" x14ac:dyDescent="0.35">
      <c r="AE328" s="34"/>
    </row>
    <row r="348" spans="20:35" ht="15" thickBot="1" x14ac:dyDescent="0.4">
      <c r="T348" s="233" t="s">
        <v>260</v>
      </c>
      <c r="U348" s="233"/>
      <c r="V348" s="233"/>
    </row>
    <row r="349" spans="20:35" ht="15" thickBot="1" x14ac:dyDescent="0.4">
      <c r="T349" s="182" t="s">
        <v>130</v>
      </c>
      <c r="U349" s="187">
        <v>0</v>
      </c>
      <c r="V349" s="187"/>
      <c r="W349" s="187"/>
      <c r="X349" s="187"/>
      <c r="Y349" s="187"/>
      <c r="Z349" s="189">
        <v>75</v>
      </c>
      <c r="AC349" t="s">
        <v>261</v>
      </c>
    </row>
    <row r="350" spans="20:35" ht="15" thickBot="1" x14ac:dyDescent="0.4">
      <c r="T350" s="190" t="s">
        <v>131</v>
      </c>
      <c r="U350" s="202">
        <v>0</v>
      </c>
      <c r="V350" s="202">
        <v>0.28999999999999998</v>
      </c>
      <c r="W350" s="203">
        <v>0.3</v>
      </c>
      <c r="X350" s="203">
        <v>0.5</v>
      </c>
      <c r="Y350" s="204">
        <v>0.7</v>
      </c>
      <c r="Z350" s="205">
        <v>1</v>
      </c>
      <c r="AC350" s="182" t="s">
        <v>227</v>
      </c>
      <c r="AD350" s="227">
        <v>0</v>
      </c>
      <c r="AE350" s="242"/>
      <c r="AF350" s="242">
        <v>6</v>
      </c>
      <c r="AG350" s="242"/>
      <c r="AH350" s="242">
        <v>14.000000000000002</v>
      </c>
      <c r="AI350" s="243">
        <v>20</v>
      </c>
    </row>
    <row r="351" spans="20:35" x14ac:dyDescent="0.35">
      <c r="AC351" s="229" t="s">
        <v>228</v>
      </c>
      <c r="AD351" s="186">
        <v>0</v>
      </c>
      <c r="AE351" s="230"/>
      <c r="AF351" s="230">
        <v>3.9</v>
      </c>
      <c r="AG351" s="230"/>
      <c r="AH351" s="230">
        <v>9.1</v>
      </c>
      <c r="AI351" s="231">
        <v>13</v>
      </c>
    </row>
    <row r="352" spans="20:35" x14ac:dyDescent="0.35">
      <c r="T352" s="7" t="s">
        <v>202</v>
      </c>
      <c r="AC352" s="229" t="s">
        <v>229</v>
      </c>
      <c r="AD352" s="186">
        <v>0</v>
      </c>
      <c r="AE352" s="230"/>
      <c r="AF352" s="230">
        <v>3.5999999999999996</v>
      </c>
      <c r="AG352" s="230"/>
      <c r="AH352" s="230">
        <v>8.4</v>
      </c>
      <c r="AI352" s="231">
        <v>12</v>
      </c>
    </row>
    <row r="353" spans="20:44" ht="15" thickBot="1" x14ac:dyDescent="0.4">
      <c r="T353" s="17" t="s">
        <v>201</v>
      </c>
      <c r="U353">
        <v>1.3332999999999999E-2</v>
      </c>
      <c r="AC353" s="190" t="s">
        <v>192</v>
      </c>
      <c r="AD353" s="202">
        <v>0</v>
      </c>
      <c r="AE353" s="202">
        <v>0.28999999999999998</v>
      </c>
      <c r="AF353" s="203">
        <v>0.3</v>
      </c>
      <c r="AG353" s="203">
        <v>0.69</v>
      </c>
      <c r="AH353" s="204">
        <v>0.7</v>
      </c>
      <c r="AI353" s="205">
        <v>1</v>
      </c>
      <c r="AL353" t="s">
        <v>262</v>
      </c>
    </row>
    <row r="354" spans="20:44" x14ac:dyDescent="0.35">
      <c r="T354" s="17" t="s">
        <v>205</v>
      </c>
      <c r="U354">
        <f>0</f>
        <v>0</v>
      </c>
      <c r="AL354" s="182" t="s">
        <v>190</v>
      </c>
      <c r="AM354" s="187">
        <v>0</v>
      </c>
      <c r="AN354" s="187"/>
      <c r="AO354" s="187">
        <v>13</v>
      </c>
      <c r="AP354" s="187"/>
      <c r="AQ354" s="187">
        <v>22</v>
      </c>
      <c r="AR354" s="189">
        <v>29</v>
      </c>
    </row>
    <row r="355" spans="20:44" ht="15" thickBot="1" x14ac:dyDescent="0.4">
      <c r="V355" s="34"/>
      <c r="AD355" t="s">
        <v>230</v>
      </c>
      <c r="AE355" t="s">
        <v>231</v>
      </c>
      <c r="AF355" t="s">
        <v>232</v>
      </c>
      <c r="AL355" s="190" t="s">
        <v>192</v>
      </c>
      <c r="AM355" s="202">
        <v>0</v>
      </c>
      <c r="AN355" s="202">
        <v>0.28999999999999998</v>
      </c>
      <c r="AO355" s="203">
        <v>0.3</v>
      </c>
      <c r="AP355" s="203">
        <v>0.69</v>
      </c>
      <c r="AQ355" s="204">
        <v>0.7</v>
      </c>
      <c r="AR355" s="205">
        <v>1</v>
      </c>
    </row>
    <row r="356" spans="20:44" x14ac:dyDescent="0.35">
      <c r="AC356" t="s">
        <v>206</v>
      </c>
    </row>
    <row r="357" spans="20:44" x14ac:dyDescent="0.35">
      <c r="AC357" s="17" t="s">
        <v>201</v>
      </c>
      <c r="AD357">
        <v>0.05</v>
      </c>
      <c r="AE357">
        <v>7.6899999999999996E-2</v>
      </c>
      <c r="AF357">
        <v>8.3299999999999999E-2</v>
      </c>
      <c r="AM357" t="s">
        <v>204</v>
      </c>
      <c r="AN357" t="s">
        <v>222</v>
      </c>
    </row>
    <row r="358" spans="20:44" x14ac:dyDescent="0.35">
      <c r="AC358" s="17" t="s">
        <v>205</v>
      </c>
      <c r="AD358">
        <v>0</v>
      </c>
      <c r="AE358">
        <v>0</v>
      </c>
      <c r="AF358">
        <v>0</v>
      </c>
      <c r="AL358" s="7" t="s">
        <v>259</v>
      </c>
      <c r="AM358" t="s">
        <v>197</v>
      </c>
      <c r="AN358" s="225" t="s">
        <v>221</v>
      </c>
      <c r="AO358" s="225"/>
      <c r="AP358" s="17"/>
    </row>
    <row r="359" spans="20:44" x14ac:dyDescent="0.35">
      <c r="AL359" s="17" t="s">
        <v>201</v>
      </c>
      <c r="AM359">
        <v>2.3076900000000001E-2</v>
      </c>
      <c r="AN359" s="250">
        <v>-1E-4</v>
      </c>
    </row>
    <row r="360" spans="20:44" x14ac:dyDescent="0.35">
      <c r="AE360" s="34"/>
      <c r="AL360" s="17" t="s">
        <v>205</v>
      </c>
      <c r="AM360">
        <v>0</v>
      </c>
      <c r="AN360" s="34">
        <v>4.7899999999999998E-2</v>
      </c>
    </row>
    <row r="361" spans="20:44" x14ac:dyDescent="0.35">
      <c r="AL361" s="17" t="s">
        <v>223</v>
      </c>
      <c r="AN361">
        <v>-0.30620000000000003</v>
      </c>
    </row>
    <row r="383" spans="20:35" ht="15" thickBot="1" x14ac:dyDescent="0.4">
      <c r="T383" t="s">
        <v>263</v>
      </c>
      <c r="AC383" t="s">
        <v>264</v>
      </c>
    </row>
    <row r="384" spans="20:35" x14ac:dyDescent="0.35">
      <c r="T384" s="255" t="s">
        <v>130</v>
      </c>
      <c r="U384" s="256">
        <v>6.5</v>
      </c>
      <c r="V384" s="256"/>
      <c r="W384" s="256"/>
      <c r="X384" s="256"/>
      <c r="Y384" s="256">
        <v>5</v>
      </c>
      <c r="Z384" s="257">
        <v>4</v>
      </c>
      <c r="AC384" s="182" t="s">
        <v>227</v>
      </c>
      <c r="AD384" s="227">
        <v>0</v>
      </c>
      <c r="AE384" s="242"/>
      <c r="AF384" s="242">
        <v>5.0999999999999996</v>
      </c>
      <c r="AG384" s="242"/>
      <c r="AH384" s="242">
        <v>11.899999999999999</v>
      </c>
      <c r="AI384" s="243">
        <v>17</v>
      </c>
    </row>
    <row r="385" spans="20:44" x14ac:dyDescent="0.35">
      <c r="T385" s="258" t="s">
        <v>131</v>
      </c>
      <c r="U385" s="259">
        <v>0</v>
      </c>
      <c r="V385" s="259">
        <v>0.28999999999999998</v>
      </c>
      <c r="W385" s="260">
        <v>0.3</v>
      </c>
      <c r="X385" s="260">
        <v>0.69</v>
      </c>
      <c r="Y385" s="261">
        <v>0.7</v>
      </c>
      <c r="Z385" s="262">
        <v>1</v>
      </c>
      <c r="AC385" s="229" t="s">
        <v>228</v>
      </c>
      <c r="AD385" s="186">
        <v>0</v>
      </c>
      <c r="AE385" s="230"/>
      <c r="AF385" s="230">
        <v>4.8</v>
      </c>
      <c r="AG385" s="230"/>
      <c r="AH385" s="230">
        <v>11.200000000000001</v>
      </c>
      <c r="AI385" s="231">
        <v>16</v>
      </c>
    </row>
    <row r="386" spans="20:44" x14ac:dyDescent="0.35">
      <c r="AC386" s="229" t="s">
        <v>229</v>
      </c>
      <c r="AD386" s="186">
        <v>0</v>
      </c>
      <c r="AE386" s="230"/>
      <c r="AF386" s="230">
        <v>2.4</v>
      </c>
      <c r="AG386" s="230"/>
      <c r="AH386" s="230">
        <v>5.6000000000000005</v>
      </c>
      <c r="AI386" s="231">
        <v>8</v>
      </c>
    </row>
    <row r="387" spans="20:44" ht="15" thickBot="1" x14ac:dyDescent="0.4">
      <c r="T387" s="225" t="s">
        <v>265</v>
      </c>
      <c r="U387" s="225"/>
      <c r="V387" s="225"/>
      <c r="AC387" s="190" t="s">
        <v>192</v>
      </c>
      <c r="AD387" s="202">
        <v>0</v>
      </c>
      <c r="AE387" s="202">
        <v>0.28999999999999998</v>
      </c>
      <c r="AF387" s="203">
        <v>0.3</v>
      </c>
      <c r="AG387" s="203">
        <v>0.69</v>
      </c>
      <c r="AH387" s="204">
        <v>0.7</v>
      </c>
      <c r="AI387" s="205">
        <v>1</v>
      </c>
      <c r="AL387" t="s">
        <v>266</v>
      </c>
    </row>
    <row r="388" spans="20:44" x14ac:dyDescent="0.35">
      <c r="T388" s="263" t="s">
        <v>201</v>
      </c>
      <c r="U388" s="263">
        <v>-6.6699999999999995E-2</v>
      </c>
      <c r="V388" s="225"/>
      <c r="AL388" s="182" t="s">
        <v>190</v>
      </c>
      <c r="AM388" s="264"/>
      <c r="AN388" s="187"/>
      <c r="AO388" s="187">
        <v>33</v>
      </c>
      <c r="AP388" s="187"/>
      <c r="AQ388" s="187">
        <v>48</v>
      </c>
      <c r="AR388" s="189">
        <v>60</v>
      </c>
    </row>
    <row r="389" spans="20:44" ht="15" thickBot="1" x14ac:dyDescent="0.4">
      <c r="T389" s="263" t="s">
        <v>205</v>
      </c>
      <c r="U389" s="265">
        <v>0.3</v>
      </c>
      <c r="V389" s="225"/>
      <c r="AD389" t="s">
        <v>230</v>
      </c>
      <c r="AE389" t="s">
        <v>231</v>
      </c>
      <c r="AF389" t="s">
        <v>232</v>
      </c>
      <c r="AL389" s="190" t="s">
        <v>192</v>
      </c>
      <c r="AM389" s="202">
        <v>0</v>
      </c>
      <c r="AN389" s="202">
        <v>0.28999999999999998</v>
      </c>
      <c r="AO389" s="203">
        <v>0.3</v>
      </c>
      <c r="AP389" s="203">
        <v>0.69</v>
      </c>
      <c r="AQ389" s="204">
        <v>0.7</v>
      </c>
      <c r="AR389" s="205">
        <v>1</v>
      </c>
    </row>
    <row r="390" spans="20:44" x14ac:dyDescent="0.35">
      <c r="T390" s="263" t="s">
        <v>223</v>
      </c>
      <c r="U390" s="263">
        <v>0.86670000000000003</v>
      </c>
      <c r="V390" s="266"/>
      <c r="AC390" t="s">
        <v>206</v>
      </c>
    </row>
    <row r="391" spans="20:44" x14ac:dyDescent="0.35">
      <c r="AC391" s="17" t="s">
        <v>201</v>
      </c>
      <c r="AD391">
        <v>5.8799999999999998E-2</v>
      </c>
      <c r="AE391">
        <v>6.25E-2</v>
      </c>
      <c r="AF391">
        <v>0.125</v>
      </c>
      <c r="AM391" t="s">
        <v>206</v>
      </c>
    </row>
    <row r="392" spans="20:44" x14ac:dyDescent="0.35">
      <c r="AC392" s="17" t="s">
        <v>205</v>
      </c>
      <c r="AD392">
        <v>0</v>
      </c>
      <c r="AE392">
        <v>0</v>
      </c>
      <c r="AF392">
        <v>0</v>
      </c>
      <c r="AL392" s="17" t="s">
        <v>201</v>
      </c>
      <c r="AM392">
        <v>2.5999999999999999E-2</v>
      </c>
    </row>
    <row r="393" spans="20:44" x14ac:dyDescent="0.35">
      <c r="AL393" s="17" t="s">
        <v>205</v>
      </c>
      <c r="AM393">
        <v>-0.55330000000000001</v>
      </c>
    </row>
    <row r="394" spans="20:44" x14ac:dyDescent="0.35">
      <c r="AE394" s="34"/>
    </row>
    <row r="395" spans="20:44" x14ac:dyDescent="0.35">
      <c r="AN395" s="34"/>
    </row>
    <row r="415" spans="20:29" ht="15" thickBot="1" x14ac:dyDescent="0.4">
      <c r="T415" t="s">
        <v>267</v>
      </c>
    </row>
    <row r="416" spans="20:29" ht="15" thickBot="1" x14ac:dyDescent="0.4">
      <c r="T416" s="182" t="s">
        <v>130</v>
      </c>
      <c r="U416" s="227">
        <v>8</v>
      </c>
      <c r="V416" s="187"/>
      <c r="W416" s="187"/>
      <c r="X416" s="187"/>
      <c r="Y416" s="187">
        <v>6</v>
      </c>
      <c r="Z416" s="189">
        <v>5</v>
      </c>
      <c r="AC416" t="s">
        <v>268</v>
      </c>
    </row>
    <row r="417" spans="20:44" ht="15" thickBot="1" x14ac:dyDescent="0.4">
      <c r="T417" s="190" t="s">
        <v>131</v>
      </c>
      <c r="U417" s="202">
        <v>0</v>
      </c>
      <c r="V417" s="202">
        <v>0.28999999999999998</v>
      </c>
      <c r="W417" s="203">
        <v>0.3</v>
      </c>
      <c r="X417" s="203">
        <v>0.69</v>
      </c>
      <c r="Y417" s="204">
        <v>0.7</v>
      </c>
      <c r="Z417" s="267">
        <v>1</v>
      </c>
      <c r="AC417" s="182" t="s">
        <v>190</v>
      </c>
      <c r="AD417" s="187">
        <v>2.2999999999999998</v>
      </c>
      <c r="AE417" s="187"/>
      <c r="AF417" s="187"/>
      <c r="AG417" s="187"/>
      <c r="AH417" s="187">
        <v>0.8</v>
      </c>
      <c r="AI417" s="189">
        <v>0.4</v>
      </c>
    </row>
    <row r="418" spans="20:44" ht="15" thickBot="1" x14ac:dyDescent="0.4">
      <c r="AC418" s="190" t="s">
        <v>192</v>
      </c>
      <c r="AD418" s="202">
        <v>0</v>
      </c>
      <c r="AE418" s="202">
        <v>0.28999999999999998</v>
      </c>
      <c r="AF418" s="203">
        <v>0.3</v>
      </c>
      <c r="AG418" s="203">
        <v>0.69</v>
      </c>
      <c r="AH418" s="204">
        <v>0.7</v>
      </c>
      <c r="AI418" s="205">
        <v>1</v>
      </c>
    </row>
    <row r="419" spans="20:44" x14ac:dyDescent="0.35">
      <c r="T419" s="268" t="s">
        <v>269</v>
      </c>
      <c r="U419" s="225"/>
      <c r="V419" s="225"/>
    </row>
    <row r="420" spans="20:44" x14ac:dyDescent="0.35">
      <c r="T420" s="263" t="s">
        <v>201</v>
      </c>
      <c r="U420" s="263">
        <v>-1.67E-2</v>
      </c>
      <c r="V420" s="225"/>
      <c r="AD420" s="17" t="s">
        <v>270</v>
      </c>
      <c r="AE420" s="17" t="s">
        <v>195</v>
      </c>
    </row>
    <row r="421" spans="20:44" ht="15" thickBot="1" x14ac:dyDescent="0.4">
      <c r="T421" s="263" t="s">
        <v>205</v>
      </c>
      <c r="U421" s="263">
        <v>-0.1167</v>
      </c>
      <c r="V421" s="225"/>
      <c r="W421" s="34"/>
      <c r="AC421" s="7" t="s">
        <v>202</v>
      </c>
      <c r="AD421" s="17"/>
      <c r="AE421" s="17"/>
      <c r="AL421" t="s">
        <v>271</v>
      </c>
    </row>
    <row r="422" spans="20:44" x14ac:dyDescent="0.35">
      <c r="T422" s="263" t="s">
        <v>223</v>
      </c>
      <c r="U422" s="265">
        <v>2</v>
      </c>
      <c r="V422" s="266"/>
      <c r="AC422" s="17" t="s">
        <v>201</v>
      </c>
      <c r="AD422" s="17">
        <v>-0.4667</v>
      </c>
      <c r="AE422" s="17">
        <v>-0.75</v>
      </c>
      <c r="AL422" s="182" t="s">
        <v>190</v>
      </c>
      <c r="AM422" s="187"/>
      <c r="AN422" s="187"/>
      <c r="AO422" s="187">
        <v>35</v>
      </c>
      <c r="AP422" s="187"/>
      <c r="AQ422" s="187">
        <v>48</v>
      </c>
      <c r="AR422" s="189">
        <v>60</v>
      </c>
    </row>
    <row r="423" spans="20:44" ht="15" thickBot="1" x14ac:dyDescent="0.4">
      <c r="AC423" s="17" t="s">
        <v>205</v>
      </c>
      <c r="AD423" s="17">
        <v>1.0732999999999999</v>
      </c>
      <c r="AE423" s="17">
        <v>1.3</v>
      </c>
      <c r="AL423" s="190" t="s">
        <v>192</v>
      </c>
      <c r="AM423" s="202">
        <v>0</v>
      </c>
      <c r="AN423" s="202">
        <v>0.28999999999999998</v>
      </c>
      <c r="AO423" s="203">
        <v>0.3</v>
      </c>
      <c r="AP423" s="203">
        <v>0.69</v>
      </c>
      <c r="AQ423" s="204">
        <v>0.7</v>
      </c>
      <c r="AR423" s="205">
        <v>1</v>
      </c>
    </row>
    <row r="424" spans="20:44" x14ac:dyDescent="0.35">
      <c r="AF424" s="34"/>
    </row>
    <row r="425" spans="20:44" x14ac:dyDescent="0.35">
      <c r="AE425" s="34"/>
      <c r="AM425" s="225" t="s">
        <v>269</v>
      </c>
      <c r="AN425" s="225"/>
      <c r="AO425" s="225"/>
    </row>
    <row r="426" spans="20:44" x14ac:dyDescent="0.35">
      <c r="AL426" s="17" t="s">
        <v>201</v>
      </c>
      <c r="AM426">
        <v>-2.31E-4</v>
      </c>
    </row>
    <row r="427" spans="20:44" x14ac:dyDescent="0.35">
      <c r="AL427" s="17" t="s">
        <v>205</v>
      </c>
      <c r="AM427">
        <v>4.9923000000000002E-2</v>
      </c>
    </row>
    <row r="428" spans="20:44" x14ac:dyDescent="0.35">
      <c r="AL428" s="17" t="s">
        <v>223</v>
      </c>
      <c r="AM428">
        <v>-1.164615</v>
      </c>
    </row>
    <row r="429" spans="20:44" x14ac:dyDescent="0.35">
      <c r="AN429" s="34"/>
    </row>
    <row r="447" spans="20:26" ht="15" thickBot="1" x14ac:dyDescent="0.4">
      <c r="T447" t="s">
        <v>272</v>
      </c>
    </row>
    <row r="448" spans="20:26" x14ac:dyDescent="0.35">
      <c r="T448" s="474" t="s">
        <v>130</v>
      </c>
      <c r="U448" s="187">
        <v>1</v>
      </c>
      <c r="V448" s="187"/>
      <c r="W448" s="187"/>
      <c r="X448" s="187"/>
      <c r="Y448" s="187"/>
      <c r="Z448" s="189">
        <v>3.5</v>
      </c>
    </row>
    <row r="449" spans="20:44" ht="15" thickBot="1" x14ac:dyDescent="0.4">
      <c r="T449" s="475"/>
      <c r="U449" s="146">
        <v>9</v>
      </c>
      <c r="V449" s="146"/>
      <c r="W449" s="146"/>
      <c r="X449" s="146"/>
      <c r="Y449" s="146"/>
      <c r="Z449" s="224">
        <v>6</v>
      </c>
      <c r="AC449" t="s">
        <v>273</v>
      </c>
    </row>
    <row r="450" spans="20:44" ht="15" thickBot="1" x14ac:dyDescent="0.4">
      <c r="T450" s="190" t="s">
        <v>131</v>
      </c>
      <c r="U450" s="202">
        <v>0</v>
      </c>
      <c r="V450" s="202">
        <v>0.28999999999999998</v>
      </c>
      <c r="W450" s="203">
        <v>0.3</v>
      </c>
      <c r="X450" s="203">
        <v>0.69</v>
      </c>
      <c r="Y450" s="204">
        <v>0.7</v>
      </c>
      <c r="Z450" s="205">
        <v>1</v>
      </c>
      <c r="AC450" s="182" t="s">
        <v>190</v>
      </c>
      <c r="AD450" s="187">
        <v>0.2</v>
      </c>
      <c r="AE450" s="187"/>
      <c r="AF450" s="187"/>
      <c r="AG450" s="187"/>
      <c r="AH450" s="187">
        <v>0.08</v>
      </c>
      <c r="AI450" s="189">
        <v>0.04</v>
      </c>
    </row>
    <row r="451" spans="20:44" ht="15" thickBot="1" x14ac:dyDescent="0.4">
      <c r="AC451" s="190" t="s">
        <v>192</v>
      </c>
      <c r="AD451" s="202">
        <v>0</v>
      </c>
      <c r="AE451" s="202">
        <v>0.2</v>
      </c>
      <c r="AF451" s="203">
        <v>0.3</v>
      </c>
      <c r="AG451" s="203">
        <v>0.6</v>
      </c>
      <c r="AH451" s="204">
        <v>0.7</v>
      </c>
      <c r="AI451" s="205">
        <v>1</v>
      </c>
    </row>
    <row r="452" spans="20:44" x14ac:dyDescent="0.35">
      <c r="U452" t="s">
        <v>219</v>
      </c>
      <c r="V452" t="s">
        <v>220</v>
      </c>
    </row>
    <row r="453" spans="20:44" x14ac:dyDescent="0.35">
      <c r="T453" t="s">
        <v>206</v>
      </c>
      <c r="AD453" s="17" t="s">
        <v>270</v>
      </c>
      <c r="AE453" s="17" t="s">
        <v>195</v>
      </c>
    </row>
    <row r="454" spans="20:44" x14ac:dyDescent="0.35">
      <c r="T454" s="17" t="s">
        <v>201</v>
      </c>
      <c r="U454">
        <v>0.4</v>
      </c>
      <c r="V454">
        <v>-0.33329999999999999</v>
      </c>
      <c r="AC454" s="7" t="s">
        <v>202</v>
      </c>
      <c r="AD454" s="17"/>
      <c r="AE454" s="17"/>
    </row>
    <row r="455" spans="20:44" ht="15" thickBot="1" x14ac:dyDescent="0.4">
      <c r="T455" s="17" t="s">
        <v>205</v>
      </c>
      <c r="U455">
        <v>-0.4</v>
      </c>
      <c r="V455">
        <v>3</v>
      </c>
      <c r="AC455" s="17" t="s">
        <v>201</v>
      </c>
      <c r="AD455" s="17">
        <v>-5.8333000000000004</v>
      </c>
      <c r="AE455" s="17">
        <v>-7.5</v>
      </c>
      <c r="AL455" t="s">
        <v>274</v>
      </c>
    </row>
    <row r="456" spans="20:44" x14ac:dyDescent="0.35">
      <c r="AC456" s="17" t="s">
        <v>205</v>
      </c>
      <c r="AD456" s="17">
        <v>1.1667000000000001</v>
      </c>
      <c r="AE456" s="17">
        <v>1.3</v>
      </c>
      <c r="AL456" s="182" t="s">
        <v>190</v>
      </c>
      <c r="AM456" s="187">
        <v>25.1</v>
      </c>
      <c r="AN456" s="187"/>
      <c r="AO456" s="187">
        <v>33</v>
      </c>
      <c r="AP456" s="187"/>
      <c r="AQ456" s="187">
        <v>46</v>
      </c>
      <c r="AR456" s="189">
        <v>60</v>
      </c>
    </row>
    <row r="457" spans="20:44" ht="15" thickBot="1" x14ac:dyDescent="0.4">
      <c r="AF457" s="34"/>
      <c r="AL457" s="190" t="s">
        <v>192</v>
      </c>
      <c r="AM457" s="202">
        <v>0</v>
      </c>
      <c r="AN457" s="202">
        <v>0.2</v>
      </c>
      <c r="AO457" s="203">
        <v>0.3</v>
      </c>
      <c r="AP457" s="203">
        <v>0.6</v>
      </c>
      <c r="AQ457" s="204">
        <v>0.7</v>
      </c>
      <c r="AR457" s="205">
        <v>1</v>
      </c>
    </row>
    <row r="458" spans="20:44" x14ac:dyDescent="0.35">
      <c r="AE458" s="34"/>
    </row>
    <row r="459" spans="20:44" x14ac:dyDescent="0.35">
      <c r="AM459" s="225" t="s">
        <v>269</v>
      </c>
      <c r="AN459" s="225"/>
      <c r="AO459" s="225"/>
    </row>
    <row r="460" spans="20:44" x14ac:dyDescent="0.35">
      <c r="AL460" s="17" t="s">
        <v>201</v>
      </c>
      <c r="AM460">
        <v>-3.4600000000000001E-4</v>
      </c>
    </row>
    <row r="461" spans="20:44" x14ac:dyDescent="0.35">
      <c r="AL461" s="17" t="s">
        <v>205</v>
      </c>
      <c r="AM461">
        <v>5.806E-2</v>
      </c>
    </row>
    <row r="462" spans="20:44" x14ac:dyDescent="0.35">
      <c r="AL462" s="17" t="s">
        <v>223</v>
      </c>
      <c r="AM462">
        <v>-1.24</v>
      </c>
    </row>
    <row r="463" spans="20:44" x14ac:dyDescent="0.35">
      <c r="AN463" s="34"/>
    </row>
    <row r="482" spans="20:44" ht="15" thickBot="1" x14ac:dyDescent="0.4">
      <c r="AC482" t="s">
        <v>275</v>
      </c>
    </row>
    <row r="483" spans="20:44" ht="15" thickBot="1" x14ac:dyDescent="0.4">
      <c r="T483" t="s">
        <v>276</v>
      </c>
      <c r="AC483" s="182" t="s">
        <v>190</v>
      </c>
      <c r="AD483" s="222"/>
      <c r="AE483" s="187"/>
      <c r="AF483" s="187">
        <v>229</v>
      </c>
      <c r="AG483" s="187"/>
      <c r="AH483" s="187">
        <v>78</v>
      </c>
      <c r="AI483" s="189">
        <v>55</v>
      </c>
    </row>
    <row r="484" spans="20:44" ht="15" thickBot="1" x14ac:dyDescent="0.4">
      <c r="T484" s="182" t="s">
        <v>130</v>
      </c>
      <c r="U484" s="227">
        <v>1</v>
      </c>
      <c r="V484" s="227"/>
      <c r="W484" s="227">
        <v>1.1000000000000001</v>
      </c>
      <c r="X484" s="227"/>
      <c r="Y484" s="227">
        <v>1.4</v>
      </c>
      <c r="Z484" s="228">
        <v>1.7</v>
      </c>
      <c r="AC484" s="190" t="s">
        <v>192</v>
      </c>
      <c r="AD484" s="202">
        <v>0</v>
      </c>
      <c r="AE484" s="202">
        <v>0.2</v>
      </c>
      <c r="AF484" s="203">
        <v>0.3</v>
      </c>
      <c r="AG484" s="203">
        <v>0.69</v>
      </c>
      <c r="AH484" s="204">
        <v>0.7</v>
      </c>
      <c r="AI484" s="205">
        <v>1</v>
      </c>
    </row>
    <row r="485" spans="20:44" ht="15" thickBot="1" x14ac:dyDescent="0.4">
      <c r="T485" s="190" t="s">
        <v>131</v>
      </c>
      <c r="U485" s="202">
        <v>0</v>
      </c>
      <c r="V485" s="202">
        <v>0.28999999999999998</v>
      </c>
      <c r="W485" s="203">
        <v>0.3</v>
      </c>
      <c r="X485" s="203">
        <v>0.69</v>
      </c>
      <c r="Y485" s="204">
        <v>0.7</v>
      </c>
      <c r="Z485" s="205">
        <v>1</v>
      </c>
    </row>
    <row r="486" spans="20:44" x14ac:dyDescent="0.35">
      <c r="AD486" s="17" t="s">
        <v>270</v>
      </c>
      <c r="AE486" s="17" t="s">
        <v>195</v>
      </c>
    </row>
    <row r="487" spans="20:44" x14ac:dyDescent="0.35">
      <c r="U487" s="476" t="s">
        <v>206</v>
      </c>
      <c r="V487" s="476"/>
      <c r="AC487" t="s">
        <v>206</v>
      </c>
      <c r="AD487" s="17"/>
      <c r="AE487" s="17"/>
    </row>
    <row r="488" spans="20:44" x14ac:dyDescent="0.35">
      <c r="U488" s="17" t="s">
        <v>204</v>
      </c>
      <c r="V488" s="17" t="s">
        <v>203</v>
      </c>
      <c r="W488" s="17" t="s">
        <v>195</v>
      </c>
      <c r="AC488" s="17" t="s">
        <v>201</v>
      </c>
      <c r="AD488" s="17">
        <v>-2.6489999999999999E-3</v>
      </c>
      <c r="AE488" s="17">
        <v>-1.3043000000000001E-2</v>
      </c>
    </row>
    <row r="489" spans="20:44" ht="15" thickBot="1" x14ac:dyDescent="0.4">
      <c r="T489" s="17" t="s">
        <v>201</v>
      </c>
      <c r="U489">
        <v>3</v>
      </c>
      <c r="V489">
        <v>1.3332999999999999</v>
      </c>
      <c r="W489">
        <v>1</v>
      </c>
      <c r="AC489" s="17" t="s">
        <v>205</v>
      </c>
      <c r="AD489" s="269">
        <v>0.90662299999999996</v>
      </c>
      <c r="AE489" s="17">
        <v>1.7173909999999999</v>
      </c>
      <c r="AL489" t="s">
        <v>418</v>
      </c>
    </row>
    <row r="490" spans="20:44" x14ac:dyDescent="0.35">
      <c r="T490" s="17" t="s">
        <v>205</v>
      </c>
      <c r="U490">
        <v>-3</v>
      </c>
      <c r="V490">
        <v>-1.1667000000000001</v>
      </c>
      <c r="W490">
        <v>-0.7</v>
      </c>
      <c r="AL490" s="182" t="s">
        <v>190</v>
      </c>
      <c r="AM490" s="187">
        <v>100</v>
      </c>
      <c r="AN490" s="187"/>
      <c r="AO490" s="187">
        <v>75</v>
      </c>
      <c r="AP490" s="187"/>
      <c r="AQ490" s="187">
        <v>25</v>
      </c>
      <c r="AR490" s="189">
        <v>0</v>
      </c>
    </row>
    <row r="491" spans="20:44" ht="15" thickBot="1" x14ac:dyDescent="0.4">
      <c r="AF491" s="34"/>
      <c r="AL491" s="190" t="s">
        <v>192</v>
      </c>
      <c r="AM491" s="202">
        <v>0</v>
      </c>
      <c r="AN491" s="202">
        <v>0.28999999999999998</v>
      </c>
      <c r="AO491" s="203">
        <v>0.3</v>
      </c>
      <c r="AP491" s="203">
        <v>0.69</v>
      </c>
      <c r="AQ491" s="204">
        <v>0.7</v>
      </c>
      <c r="AR491" s="205">
        <v>1</v>
      </c>
    </row>
    <row r="492" spans="20:44" x14ac:dyDescent="0.35">
      <c r="V492" s="34"/>
      <c r="AE492" s="34"/>
    </row>
    <row r="493" spans="20:44" x14ac:dyDescent="0.35">
      <c r="AM493" t="s">
        <v>204</v>
      </c>
      <c r="AN493" t="s">
        <v>203</v>
      </c>
      <c r="AO493" t="s">
        <v>195</v>
      </c>
    </row>
    <row r="494" spans="20:44" x14ac:dyDescent="0.35">
      <c r="AL494" s="7" t="s">
        <v>259</v>
      </c>
      <c r="AM494" t="s">
        <v>197</v>
      </c>
      <c r="AN494" t="s">
        <v>197</v>
      </c>
      <c r="AO494" t="s">
        <v>197</v>
      </c>
      <c r="AP494" s="17"/>
    </row>
    <row r="495" spans="20:44" x14ac:dyDescent="0.35">
      <c r="AL495" s="17" t="s">
        <v>201</v>
      </c>
      <c r="AM495">
        <v>-1.2E-2</v>
      </c>
      <c r="AN495" s="281">
        <v>-8.0000000000000002E-3</v>
      </c>
      <c r="AO495">
        <v>-1.2E-2</v>
      </c>
    </row>
    <row r="496" spans="20:44" x14ac:dyDescent="0.35">
      <c r="AL496" s="17" t="s">
        <v>205</v>
      </c>
      <c r="AM496">
        <v>1.2</v>
      </c>
      <c r="AN496" s="34">
        <v>0.9</v>
      </c>
      <c r="AO496">
        <v>1</v>
      </c>
    </row>
    <row r="497" spans="20:38" x14ac:dyDescent="0.35">
      <c r="AL497" s="17" t="s">
        <v>223</v>
      </c>
    </row>
    <row r="500" spans="20:38" x14ac:dyDescent="0.35">
      <c r="T500" s="146"/>
    </row>
    <row r="501" spans="20:38" x14ac:dyDescent="0.35">
      <c r="T501" s="146"/>
    </row>
    <row r="503" spans="20:38" x14ac:dyDescent="0.35">
      <c r="T503" s="146"/>
    </row>
    <row r="504" spans="20:38" x14ac:dyDescent="0.35">
      <c r="T504" s="146"/>
    </row>
    <row r="511" spans="20:38" x14ac:dyDescent="0.35">
      <c r="T511" s="146"/>
    </row>
    <row r="512" spans="20:38" x14ac:dyDescent="0.35">
      <c r="T512" s="146"/>
      <c r="AA512" s="181"/>
    </row>
    <row r="514" spans="20:35" x14ac:dyDescent="0.35">
      <c r="T514" s="146"/>
      <c r="U514" s="146"/>
      <c r="V514" s="146"/>
      <c r="W514" s="146"/>
      <c r="X514" s="146"/>
      <c r="Y514" s="146"/>
      <c r="Z514" s="146"/>
    </row>
    <row r="516" spans="20:35" ht="15" thickBot="1" x14ac:dyDescent="0.4">
      <c r="T516" t="s">
        <v>277</v>
      </c>
    </row>
    <row r="517" spans="20:35" x14ac:dyDescent="0.35">
      <c r="T517" s="182" t="s">
        <v>130</v>
      </c>
      <c r="U517" s="227">
        <v>1</v>
      </c>
      <c r="V517" s="227"/>
      <c r="W517" s="227">
        <v>2</v>
      </c>
      <c r="X517" s="227"/>
      <c r="Y517" s="227">
        <v>2.2999999999999998</v>
      </c>
      <c r="Z517" s="228">
        <v>2.9</v>
      </c>
    </row>
    <row r="518" spans="20:35" ht="15" thickBot="1" x14ac:dyDescent="0.4">
      <c r="T518" s="190" t="s">
        <v>131</v>
      </c>
      <c r="U518" s="202">
        <v>0</v>
      </c>
      <c r="V518" s="202">
        <v>0.28999999999999998</v>
      </c>
      <c r="W518" s="203">
        <v>0.3</v>
      </c>
      <c r="X518" s="203">
        <v>0.69</v>
      </c>
      <c r="Y518" s="204">
        <v>0.7</v>
      </c>
      <c r="Z518" s="205">
        <v>1</v>
      </c>
      <c r="AC518" t="s">
        <v>278</v>
      </c>
    </row>
    <row r="519" spans="20:35" x14ac:dyDescent="0.35">
      <c r="AC519" s="182" t="s">
        <v>190</v>
      </c>
      <c r="AD519" s="270"/>
      <c r="AE519" s="187"/>
      <c r="AF519" s="187">
        <v>66</v>
      </c>
      <c r="AG519" s="187"/>
      <c r="AH519" s="187">
        <v>41</v>
      </c>
      <c r="AI519" s="189"/>
    </row>
    <row r="520" spans="20:35" ht="15" thickBot="1" x14ac:dyDescent="0.4">
      <c r="U520" s="476" t="s">
        <v>206</v>
      </c>
      <c r="V520" s="476"/>
      <c r="AC520" s="190" t="s">
        <v>192</v>
      </c>
      <c r="AD520" s="202">
        <v>0</v>
      </c>
      <c r="AE520" s="202">
        <v>0.2</v>
      </c>
      <c r="AF520" s="203">
        <v>0.3</v>
      </c>
      <c r="AG520" s="203">
        <v>0.69</v>
      </c>
      <c r="AH520" s="204">
        <v>0.7</v>
      </c>
      <c r="AI520" s="205">
        <v>1</v>
      </c>
    </row>
    <row r="521" spans="20:35" x14ac:dyDescent="0.35">
      <c r="U521" s="17" t="s">
        <v>204</v>
      </c>
      <c r="V521" s="17" t="s">
        <v>203</v>
      </c>
      <c r="W521" s="17" t="s">
        <v>195</v>
      </c>
    </row>
    <row r="522" spans="20:35" x14ac:dyDescent="0.35">
      <c r="T522" s="17" t="s">
        <v>201</v>
      </c>
      <c r="U522">
        <v>0.3</v>
      </c>
      <c r="V522">
        <v>1.3332999999999999</v>
      </c>
      <c r="W522">
        <v>0.5</v>
      </c>
      <c r="AD522" t="s">
        <v>206</v>
      </c>
    </row>
    <row r="523" spans="20:35" x14ac:dyDescent="0.35">
      <c r="T523" s="17" t="s">
        <v>205</v>
      </c>
      <c r="U523">
        <v>-0.3</v>
      </c>
      <c r="V523">
        <v>-2.3666999999999998</v>
      </c>
      <c r="W523">
        <v>-0.45</v>
      </c>
      <c r="AC523" s="17" t="s">
        <v>201</v>
      </c>
      <c r="AD523">
        <v>-1.6E-2</v>
      </c>
    </row>
    <row r="524" spans="20:35" x14ac:dyDescent="0.35">
      <c r="AC524" s="17" t="s">
        <v>205</v>
      </c>
      <c r="AD524">
        <v>1.3560000000000001</v>
      </c>
    </row>
    <row r="525" spans="20:35" x14ac:dyDescent="0.35">
      <c r="V525" s="34"/>
    </row>
    <row r="526" spans="20:35" x14ac:dyDescent="0.35">
      <c r="AF526" s="34"/>
    </row>
    <row r="527" spans="20:35" x14ac:dyDescent="0.35">
      <c r="AE527" s="34"/>
    </row>
    <row r="533" spans="20:20" x14ac:dyDescent="0.35">
      <c r="T533" s="146"/>
    </row>
    <row r="534" spans="20:20" x14ac:dyDescent="0.35">
      <c r="T534" s="146"/>
    </row>
    <row r="536" spans="20:20" x14ac:dyDescent="0.35">
      <c r="T536" s="146"/>
    </row>
    <row r="537" spans="20:20" x14ac:dyDescent="0.35">
      <c r="T537" s="146"/>
    </row>
    <row r="544" spans="20:20" x14ac:dyDescent="0.35">
      <c r="T544" s="146"/>
    </row>
    <row r="545" spans="20:26" x14ac:dyDescent="0.35">
      <c r="T545" s="146"/>
    </row>
    <row r="547" spans="20:26" x14ac:dyDescent="0.35">
      <c r="T547" s="146"/>
      <c r="U547" s="146"/>
      <c r="V547" s="146"/>
      <c r="W547" s="146"/>
      <c r="X547" s="146"/>
      <c r="Y547" s="146"/>
      <c r="Z547" s="146"/>
    </row>
    <row r="548" spans="20:26" x14ac:dyDescent="0.35">
      <c r="T548" s="146"/>
    </row>
    <row r="549" spans="20:26" ht="15" thickBot="1" x14ac:dyDescent="0.4">
      <c r="T549" t="s">
        <v>279</v>
      </c>
    </row>
    <row r="550" spans="20:26" x14ac:dyDescent="0.35">
      <c r="T550" s="182" t="s">
        <v>130</v>
      </c>
      <c r="U550" s="227">
        <v>1</v>
      </c>
      <c r="V550" s="227"/>
      <c r="W550" s="227">
        <v>1.2</v>
      </c>
      <c r="X550" s="227"/>
      <c r="Y550" s="227">
        <v>1.9</v>
      </c>
      <c r="Z550" s="228">
        <v>2.2999999999999998</v>
      </c>
    </row>
    <row r="551" spans="20:26" ht="15" thickBot="1" x14ac:dyDescent="0.4">
      <c r="T551" s="190" t="s">
        <v>131</v>
      </c>
      <c r="U551" s="202">
        <v>0</v>
      </c>
      <c r="V551" s="202">
        <v>0.28999999999999998</v>
      </c>
      <c r="W551" s="203">
        <v>0.3</v>
      </c>
      <c r="X551" s="203">
        <v>0.69</v>
      </c>
      <c r="Y551" s="204">
        <v>0.7</v>
      </c>
      <c r="Z551" s="205">
        <v>1</v>
      </c>
    </row>
    <row r="552" spans="20:26" x14ac:dyDescent="0.35">
      <c r="U552" t="s">
        <v>280</v>
      </c>
      <c r="V552" t="s">
        <v>204</v>
      </c>
    </row>
    <row r="553" spans="20:26" x14ac:dyDescent="0.35">
      <c r="T553" s="268" t="s">
        <v>269</v>
      </c>
      <c r="U553" s="225"/>
      <c r="V553" s="225"/>
      <c r="W553" s="225" t="s">
        <v>197</v>
      </c>
    </row>
    <row r="554" spans="20:26" x14ac:dyDescent="0.35">
      <c r="T554" s="263" t="s">
        <v>201</v>
      </c>
      <c r="U554" s="225">
        <v>0.1623</v>
      </c>
      <c r="V554" s="225">
        <v>1.5</v>
      </c>
      <c r="W554" s="225"/>
    </row>
    <row r="555" spans="20:26" x14ac:dyDescent="0.35">
      <c r="T555" s="263" t="s">
        <v>205</v>
      </c>
      <c r="U555" s="225">
        <v>6.8199999999999997E-2</v>
      </c>
      <c r="V555" s="225">
        <v>-1.5</v>
      </c>
      <c r="W555" s="225"/>
    </row>
    <row r="556" spans="20:26" x14ac:dyDescent="0.35">
      <c r="T556" s="263" t="s">
        <v>223</v>
      </c>
      <c r="U556" s="225">
        <v>-1.5599999999999999E-2</v>
      </c>
      <c r="V556" s="225" t="s">
        <v>281</v>
      </c>
      <c r="W556" s="225"/>
    </row>
    <row r="557" spans="20:26" x14ac:dyDescent="0.35">
      <c r="V557" s="34"/>
    </row>
    <row r="571" spans="27:27" x14ac:dyDescent="0.35">
      <c r="AA571" s="181"/>
    </row>
    <row r="572" spans="27:27" x14ac:dyDescent="0.35">
      <c r="AA572" s="181"/>
    </row>
    <row r="577" spans="12:27" x14ac:dyDescent="0.35">
      <c r="AA577" s="181"/>
    </row>
    <row r="578" spans="12:27" x14ac:dyDescent="0.35">
      <c r="AA578" s="181"/>
    </row>
    <row r="583" spans="12:27" ht="15" thickBot="1" x14ac:dyDescent="0.4">
      <c r="T583" t="s">
        <v>282</v>
      </c>
    </row>
    <row r="584" spans="12:27" x14ac:dyDescent="0.35">
      <c r="T584" s="182" t="s">
        <v>130</v>
      </c>
      <c r="U584" s="222">
        <v>1</v>
      </c>
      <c r="V584" s="187"/>
      <c r="W584" s="187">
        <v>1.4</v>
      </c>
      <c r="X584" s="187"/>
      <c r="Y584" s="187">
        <v>1.7</v>
      </c>
      <c r="Z584" s="271">
        <v>2.1</v>
      </c>
    </row>
    <row r="585" spans="12:27" ht="15" thickBot="1" x14ac:dyDescent="0.4">
      <c r="T585" s="190" t="s">
        <v>131</v>
      </c>
      <c r="U585" s="202">
        <v>0</v>
      </c>
      <c r="V585" s="202">
        <v>0.28999999999999998</v>
      </c>
      <c r="W585" s="203">
        <v>0.3</v>
      </c>
      <c r="X585" s="203">
        <v>0.69</v>
      </c>
      <c r="Y585" s="204">
        <v>0.7</v>
      </c>
      <c r="Z585" s="205">
        <v>1</v>
      </c>
    </row>
    <row r="587" spans="12:27" x14ac:dyDescent="0.35">
      <c r="T587" s="268" t="s">
        <v>269</v>
      </c>
      <c r="U587" s="225"/>
      <c r="V587" s="225"/>
      <c r="W587" s="225" t="s">
        <v>197</v>
      </c>
    </row>
    <row r="588" spans="12:27" x14ac:dyDescent="0.35">
      <c r="T588" s="225"/>
      <c r="U588" s="263" t="s">
        <v>194</v>
      </c>
      <c r="V588" s="263" t="s">
        <v>195</v>
      </c>
      <c r="W588" s="225"/>
    </row>
    <row r="589" spans="12:27" x14ac:dyDescent="0.35">
      <c r="L589" s="146"/>
      <c r="M589" s="146"/>
      <c r="N589" s="146"/>
      <c r="O589" s="146"/>
      <c r="P589" s="146"/>
      <c r="Q589" s="146"/>
      <c r="R589" s="181"/>
      <c r="T589" s="263" t="s">
        <v>201</v>
      </c>
      <c r="U589" s="225">
        <v>0.83330000000000004</v>
      </c>
      <c r="V589" s="225">
        <v>0.75</v>
      </c>
      <c r="W589" s="225"/>
    </row>
    <row r="590" spans="12:27" x14ac:dyDescent="0.35">
      <c r="L590" s="146"/>
      <c r="M590" s="146"/>
      <c r="N590" s="146"/>
      <c r="O590" s="146"/>
      <c r="P590" s="146"/>
      <c r="Q590" s="146"/>
      <c r="R590" s="181"/>
      <c r="T590" s="263" t="s">
        <v>205</v>
      </c>
      <c r="U590" s="225">
        <v>-1.25</v>
      </c>
      <c r="V590" s="225">
        <v>-0.57499999999999996</v>
      </c>
      <c r="W590" s="225"/>
    </row>
    <row r="591" spans="12:27" x14ac:dyDescent="0.35">
      <c r="T591" s="263" t="s">
        <v>223</v>
      </c>
      <c r="U591" s="225">
        <v>0.41670000000000001</v>
      </c>
      <c r="V591" s="225"/>
      <c r="W591" s="225"/>
    </row>
    <row r="592" spans="12:27" x14ac:dyDescent="0.35">
      <c r="V592" s="34"/>
      <c r="AA592" s="272"/>
    </row>
    <row r="593" spans="12:33" x14ac:dyDescent="0.35">
      <c r="AA593" s="272"/>
    </row>
    <row r="595" spans="12:33" x14ac:dyDescent="0.35">
      <c r="AF595" s="146"/>
      <c r="AG595" s="146"/>
    </row>
    <row r="596" spans="12:33" x14ac:dyDescent="0.35">
      <c r="N596" s="34"/>
    </row>
    <row r="602" spans="12:33" x14ac:dyDescent="0.35">
      <c r="L602" s="146"/>
      <c r="M602" s="146"/>
      <c r="N602" s="146"/>
      <c r="O602" s="146"/>
      <c r="P602" s="146"/>
      <c r="Q602" s="146"/>
      <c r="R602" s="181"/>
    </row>
    <row r="603" spans="12:33" x14ac:dyDescent="0.35">
      <c r="L603" s="146"/>
      <c r="M603" s="146"/>
      <c r="N603" s="146"/>
      <c r="O603" s="146"/>
      <c r="P603" s="146"/>
      <c r="Q603" s="146"/>
      <c r="R603" s="181"/>
    </row>
    <row r="606" spans="12:33" x14ac:dyDescent="0.35">
      <c r="U606" s="146"/>
      <c r="V606" s="146"/>
      <c r="W606" s="146"/>
      <c r="X606" s="146"/>
      <c r="Y606" s="146"/>
      <c r="Z606" s="146"/>
    </row>
    <row r="607" spans="12:33" x14ac:dyDescent="0.35">
      <c r="U607" s="146"/>
      <c r="V607" s="146"/>
      <c r="W607" s="146"/>
      <c r="X607" s="146"/>
      <c r="Y607" s="146"/>
      <c r="Z607" s="146"/>
    </row>
    <row r="609" spans="15:26" x14ac:dyDescent="0.35">
      <c r="O609" s="34"/>
    </row>
    <row r="612" spans="15:26" x14ac:dyDescent="0.35">
      <c r="U612" s="146"/>
      <c r="V612" s="146"/>
      <c r="W612" s="146"/>
      <c r="X612" s="146"/>
      <c r="Y612" s="146"/>
      <c r="Z612" s="146"/>
    </row>
    <row r="613" spans="15:26" x14ac:dyDescent="0.35">
      <c r="U613" s="146"/>
      <c r="V613" s="146"/>
      <c r="W613" s="146"/>
      <c r="X613" s="146"/>
      <c r="Y613" s="146"/>
      <c r="Z613" s="146"/>
    </row>
    <row r="616" spans="15:26" ht="15" thickBot="1" x14ac:dyDescent="0.4">
      <c r="T616" t="s">
        <v>283</v>
      </c>
    </row>
    <row r="617" spans="15:26" x14ac:dyDescent="0.35">
      <c r="T617" s="471" t="s">
        <v>190</v>
      </c>
      <c r="U617" s="221">
        <v>0</v>
      </c>
      <c r="V617" s="187"/>
      <c r="W617" s="187"/>
      <c r="X617" s="187"/>
      <c r="Y617" s="187"/>
      <c r="Z617" s="189">
        <v>54</v>
      </c>
    </row>
    <row r="618" spans="15:26" x14ac:dyDescent="0.35">
      <c r="T618" s="472"/>
      <c r="U618" s="223">
        <v>100</v>
      </c>
      <c r="V618" s="146"/>
      <c r="W618" s="146"/>
      <c r="X618" s="146"/>
      <c r="Y618" s="146"/>
      <c r="Z618" s="224">
        <v>62</v>
      </c>
    </row>
    <row r="619" spans="15:26" ht="15" thickBot="1" x14ac:dyDescent="0.4">
      <c r="T619" s="190" t="s">
        <v>192</v>
      </c>
      <c r="U619" s="202">
        <v>0</v>
      </c>
      <c r="V619" s="202">
        <v>0.28999999999999998</v>
      </c>
      <c r="W619" s="203">
        <v>0.3</v>
      </c>
      <c r="X619" s="203">
        <v>0.69</v>
      </c>
      <c r="Y619" s="204">
        <v>0.7</v>
      </c>
      <c r="Z619" s="205">
        <v>1</v>
      </c>
    </row>
    <row r="621" spans="15:26" x14ac:dyDescent="0.35">
      <c r="T621" t="s">
        <v>206</v>
      </c>
    </row>
    <row r="622" spans="15:26" x14ac:dyDescent="0.35">
      <c r="U622" t="s">
        <v>284</v>
      </c>
      <c r="V622" t="s">
        <v>285</v>
      </c>
    </row>
    <row r="623" spans="15:26" x14ac:dyDescent="0.35">
      <c r="T623" s="17" t="s">
        <v>201</v>
      </c>
      <c r="U623">
        <v>1.8519000000000001E-2</v>
      </c>
      <c r="V623">
        <v>-2.6315999999999999E-2</v>
      </c>
    </row>
    <row r="624" spans="15:26" x14ac:dyDescent="0.35">
      <c r="T624" s="17" t="s">
        <v>205</v>
      </c>
      <c r="V624">
        <v>2.6315789999999999</v>
      </c>
    </row>
    <row r="625" spans="20:31" x14ac:dyDescent="0.35">
      <c r="T625" s="17"/>
      <c r="U625" s="17"/>
      <c r="V625" s="17"/>
    </row>
    <row r="627" spans="20:31" x14ac:dyDescent="0.35">
      <c r="AA627" s="272"/>
    </row>
    <row r="628" spans="20:31" x14ac:dyDescent="0.35">
      <c r="AA628" s="272"/>
    </row>
    <row r="637" spans="20:31" x14ac:dyDescent="0.35">
      <c r="AE637" s="146"/>
    </row>
    <row r="645" spans="20:38" x14ac:dyDescent="0.35">
      <c r="AL645" s="146"/>
    </row>
    <row r="650" spans="20:38" ht="15" thickBot="1" x14ac:dyDescent="0.4">
      <c r="T650" t="s">
        <v>286</v>
      </c>
    </row>
    <row r="651" spans="20:38" x14ac:dyDescent="0.35">
      <c r="T651" s="471" t="s">
        <v>190</v>
      </c>
      <c r="U651" s="221">
        <v>0</v>
      </c>
      <c r="V651" s="187"/>
      <c r="W651" s="187"/>
      <c r="X651" s="187"/>
      <c r="Y651" s="187"/>
      <c r="Z651" s="189">
        <v>53</v>
      </c>
    </row>
    <row r="652" spans="20:38" x14ac:dyDescent="0.35">
      <c r="T652" s="472"/>
      <c r="U652" s="223">
        <v>100</v>
      </c>
      <c r="V652" s="146"/>
      <c r="W652" s="146"/>
      <c r="X652" s="146"/>
      <c r="Y652" s="146"/>
      <c r="Z652" s="224">
        <v>61</v>
      </c>
    </row>
    <row r="653" spans="20:38" ht="15" thickBot="1" x14ac:dyDescent="0.4">
      <c r="T653" s="190" t="s">
        <v>192</v>
      </c>
      <c r="U653" s="202">
        <v>0</v>
      </c>
      <c r="V653" s="202">
        <v>0.28999999999999998</v>
      </c>
      <c r="W653" s="203">
        <v>0.3</v>
      </c>
      <c r="X653" s="203">
        <v>0.69</v>
      </c>
      <c r="Y653" s="204">
        <v>0.7</v>
      </c>
      <c r="Z653" s="205">
        <v>1</v>
      </c>
    </row>
    <row r="655" spans="20:38" x14ac:dyDescent="0.35">
      <c r="T655" t="s">
        <v>206</v>
      </c>
    </row>
    <row r="656" spans="20:38" x14ac:dyDescent="0.35">
      <c r="U656" t="s">
        <v>287</v>
      </c>
      <c r="V656" t="s">
        <v>288</v>
      </c>
    </row>
    <row r="657" spans="20:22" x14ac:dyDescent="0.35">
      <c r="T657" s="17" t="s">
        <v>201</v>
      </c>
      <c r="U657">
        <v>1.8867999999999999E-2</v>
      </c>
      <c r="V657">
        <v>-2.5641000000000001E-2</v>
      </c>
    </row>
    <row r="658" spans="20:22" x14ac:dyDescent="0.35">
      <c r="T658" s="17" t="s">
        <v>205</v>
      </c>
      <c r="V658">
        <v>2.5641029999999998</v>
      </c>
    </row>
    <row r="659" spans="20:22" x14ac:dyDescent="0.35">
      <c r="T659" s="17"/>
      <c r="U659" s="17"/>
      <c r="V659" s="17"/>
    </row>
    <row r="685" spans="20:26" ht="15" thickBot="1" x14ac:dyDescent="0.4">
      <c r="T685" t="s">
        <v>289</v>
      </c>
    </row>
    <row r="686" spans="20:26" x14ac:dyDescent="0.35">
      <c r="T686" s="471" t="s">
        <v>190</v>
      </c>
      <c r="U686" s="221">
        <v>0</v>
      </c>
      <c r="V686" s="187"/>
      <c r="W686" s="187"/>
      <c r="X686" s="187"/>
      <c r="Y686" s="187"/>
      <c r="Z686" s="189">
        <v>45</v>
      </c>
    </row>
    <row r="687" spans="20:26" x14ac:dyDescent="0.35">
      <c r="T687" s="472"/>
      <c r="U687" s="223">
        <v>100</v>
      </c>
      <c r="V687" s="146"/>
      <c r="W687" s="146"/>
      <c r="X687" s="146"/>
      <c r="Y687" s="146"/>
      <c r="Z687" s="224">
        <v>65</v>
      </c>
    </row>
    <row r="688" spans="20:26" ht="15" thickBot="1" x14ac:dyDescent="0.4">
      <c r="T688" s="190" t="s">
        <v>192</v>
      </c>
      <c r="U688" s="202">
        <v>0</v>
      </c>
      <c r="V688" s="202">
        <v>0.28999999999999998</v>
      </c>
      <c r="W688" s="203">
        <v>0.3</v>
      </c>
      <c r="X688" s="203">
        <v>0.69</v>
      </c>
      <c r="Y688" s="204">
        <v>0.7</v>
      </c>
      <c r="Z688" s="205">
        <v>1</v>
      </c>
    </row>
    <row r="690" spans="20:22" x14ac:dyDescent="0.35">
      <c r="T690" t="s">
        <v>206</v>
      </c>
    </row>
    <row r="691" spans="20:22" x14ac:dyDescent="0.35">
      <c r="U691" t="s">
        <v>290</v>
      </c>
      <c r="V691" t="s">
        <v>291</v>
      </c>
    </row>
    <row r="692" spans="20:22" x14ac:dyDescent="0.35">
      <c r="T692" s="17" t="s">
        <v>201</v>
      </c>
      <c r="U692">
        <v>2.2700000000000001E-2</v>
      </c>
      <c r="V692">
        <v>-2.86E-2</v>
      </c>
    </row>
    <row r="693" spans="20:22" x14ac:dyDescent="0.35">
      <c r="T693" s="17" t="s">
        <v>205</v>
      </c>
      <c r="U693">
        <v>-2.2700000000000001E-2</v>
      </c>
      <c r="V693">
        <v>2.8571</v>
      </c>
    </row>
    <row r="694" spans="20:22" x14ac:dyDescent="0.35">
      <c r="V694" s="34"/>
    </row>
    <row r="709" spans="19:26" x14ac:dyDescent="0.35">
      <c r="S709" s="146"/>
    </row>
    <row r="710" spans="19:26" x14ac:dyDescent="0.35">
      <c r="S710" s="146"/>
    </row>
    <row r="719" spans="19:26" ht="15" thickBot="1" x14ac:dyDescent="0.4">
      <c r="T719" t="s">
        <v>292</v>
      </c>
    </row>
    <row r="720" spans="19:26" x14ac:dyDescent="0.35">
      <c r="T720" s="471" t="s">
        <v>130</v>
      </c>
      <c r="U720" s="273">
        <v>0</v>
      </c>
      <c r="V720" s="187"/>
      <c r="W720" s="187"/>
      <c r="X720" s="187"/>
      <c r="Y720" s="187"/>
      <c r="Z720" s="189">
        <v>43</v>
      </c>
    </row>
    <row r="721" spans="20:26" x14ac:dyDescent="0.35">
      <c r="T721" s="472"/>
      <c r="U721" s="219">
        <v>100</v>
      </c>
      <c r="V721" s="146"/>
      <c r="W721" s="146"/>
      <c r="X721" s="146"/>
      <c r="Y721" s="146"/>
      <c r="Z721" s="224">
        <v>63</v>
      </c>
    </row>
    <row r="722" spans="20:26" ht="15" thickBot="1" x14ac:dyDescent="0.4">
      <c r="T722" s="190" t="s">
        <v>131</v>
      </c>
      <c r="U722" s="202">
        <v>0</v>
      </c>
      <c r="V722" s="202">
        <v>0.28999999999999998</v>
      </c>
      <c r="W722" s="203">
        <v>0.3</v>
      </c>
      <c r="X722" s="203">
        <v>0.69</v>
      </c>
      <c r="Y722" s="204">
        <v>0.7</v>
      </c>
      <c r="Z722" s="205">
        <v>1</v>
      </c>
    </row>
    <row r="724" spans="20:26" x14ac:dyDescent="0.35">
      <c r="T724" t="s">
        <v>206</v>
      </c>
    </row>
    <row r="725" spans="20:26" x14ac:dyDescent="0.35">
      <c r="T725" s="17" t="s">
        <v>201</v>
      </c>
      <c r="U725" t="s">
        <v>293</v>
      </c>
      <c r="V725" t="s">
        <v>294</v>
      </c>
    </row>
    <row r="726" spans="20:26" x14ac:dyDescent="0.35">
      <c r="T726" s="17" t="s">
        <v>201</v>
      </c>
      <c r="U726">
        <v>2.3300000000000001E-2</v>
      </c>
      <c r="V726">
        <v>-2.7E-2</v>
      </c>
    </row>
    <row r="727" spans="20:26" x14ac:dyDescent="0.35">
      <c r="T727" s="17" t="s">
        <v>205</v>
      </c>
      <c r="U727">
        <v>0</v>
      </c>
      <c r="V727">
        <v>2.7027000000000001</v>
      </c>
    </row>
    <row r="728" spans="20:26" x14ac:dyDescent="0.35">
      <c r="V728" s="34"/>
      <c r="W728" s="34"/>
    </row>
    <row r="729" spans="20:26" x14ac:dyDescent="0.35">
      <c r="V729" s="34"/>
    </row>
    <row r="753" spans="20:26" ht="15" thickBot="1" x14ac:dyDescent="0.4">
      <c r="T753" s="274" t="s">
        <v>74</v>
      </c>
      <c r="U753" s="274"/>
    </row>
    <row r="754" spans="20:26" x14ac:dyDescent="0.35">
      <c r="T754" s="182" t="s">
        <v>130</v>
      </c>
      <c r="U754" s="273">
        <v>35</v>
      </c>
      <c r="W754">
        <v>25</v>
      </c>
      <c r="X754" s="187"/>
      <c r="Y754" s="187">
        <v>20</v>
      </c>
      <c r="Z754" s="189">
        <v>12</v>
      </c>
    </row>
    <row r="755" spans="20:26" ht="15" thickBot="1" x14ac:dyDescent="0.4">
      <c r="T755" s="190" t="s">
        <v>131</v>
      </c>
      <c r="U755" s="202">
        <v>0</v>
      </c>
      <c r="V755" s="202">
        <v>0.28999999999999998</v>
      </c>
      <c r="W755" s="203">
        <v>0.3</v>
      </c>
      <c r="X755" s="203">
        <v>0.69</v>
      </c>
      <c r="Y755" s="204">
        <v>0.7</v>
      </c>
      <c r="Z755" s="205">
        <v>1</v>
      </c>
    </row>
    <row r="757" spans="20:26" x14ac:dyDescent="0.35">
      <c r="T757" s="7" t="s">
        <v>295</v>
      </c>
      <c r="V757" s="7"/>
    </row>
    <row r="758" spans="20:26" x14ac:dyDescent="0.35">
      <c r="T758" s="17" t="s">
        <v>201</v>
      </c>
      <c r="U758">
        <v>-3.7499999999999999E-2</v>
      </c>
      <c r="V758">
        <v>-0.08</v>
      </c>
      <c r="W758">
        <v>-0.03</v>
      </c>
    </row>
    <row r="759" spans="20:26" x14ac:dyDescent="0.35">
      <c r="T759" s="17" t="s">
        <v>205</v>
      </c>
      <c r="U759">
        <v>1.45</v>
      </c>
      <c r="V759">
        <v>2.2999999999999998</v>
      </c>
      <c r="W759">
        <v>1.05</v>
      </c>
    </row>
    <row r="760" spans="20:26" x14ac:dyDescent="0.35">
      <c r="T760" s="17"/>
    </row>
    <row r="778" spans="20:26" x14ac:dyDescent="0.35">
      <c r="T778" s="17"/>
    </row>
    <row r="779" spans="20:26" x14ac:dyDescent="0.35">
      <c r="T779" s="17"/>
    </row>
    <row r="780" spans="20:26" x14ac:dyDescent="0.35">
      <c r="T780" s="17"/>
      <c r="V780" s="34"/>
    </row>
    <row r="781" spans="20:26" x14ac:dyDescent="0.35">
      <c r="T781" s="17"/>
      <c r="V781" s="34"/>
    </row>
    <row r="782" spans="20:26" x14ac:dyDescent="0.35">
      <c r="T782" s="274" t="s">
        <v>75</v>
      </c>
      <c r="U782" s="274"/>
    </row>
    <row r="783" spans="20:26" ht="15" thickBot="1" x14ac:dyDescent="0.4"/>
    <row r="784" spans="20:26" x14ac:dyDescent="0.35">
      <c r="T784" s="182" t="s">
        <v>130</v>
      </c>
      <c r="U784" s="273">
        <v>50</v>
      </c>
      <c r="V784" s="187">
        <v>25</v>
      </c>
      <c r="W784" s="187"/>
      <c r="X784" s="187"/>
      <c r="Y784" s="187">
        <v>15</v>
      </c>
      <c r="Z784" s="189"/>
    </row>
    <row r="785" spans="20:26" ht="15" thickBot="1" x14ac:dyDescent="0.4">
      <c r="T785" s="190" t="s">
        <v>131</v>
      </c>
      <c r="U785" s="202">
        <v>0</v>
      </c>
      <c r="V785" s="202">
        <v>0.28999999999999998</v>
      </c>
      <c r="W785" s="203">
        <v>0.3</v>
      </c>
      <c r="X785" s="203">
        <v>0.69</v>
      </c>
      <c r="Y785" s="204">
        <v>0.7</v>
      </c>
      <c r="Z785" s="205">
        <v>1</v>
      </c>
    </row>
    <row r="787" spans="20:26" x14ac:dyDescent="0.35">
      <c r="T787" s="7" t="s">
        <v>296</v>
      </c>
    </row>
    <row r="789" spans="20:26" x14ac:dyDescent="0.35">
      <c r="T789" s="17" t="s">
        <v>201</v>
      </c>
      <c r="U789">
        <v>-4.1000000000000002E-2</v>
      </c>
      <c r="V789">
        <v>-1.1599999999999999E-2</v>
      </c>
    </row>
    <row r="790" spans="20:26" x14ac:dyDescent="0.35">
      <c r="T790" s="17" t="s">
        <v>205</v>
      </c>
      <c r="U790">
        <v>1.3149999999999999</v>
      </c>
      <c r="V790">
        <v>0.57999999999999996</v>
      </c>
    </row>
    <row r="813" spans="20:22" x14ac:dyDescent="0.35">
      <c r="T813" s="17"/>
    </row>
    <row r="814" spans="20:22" x14ac:dyDescent="0.35">
      <c r="T814" s="17"/>
    </row>
    <row r="815" spans="20:22" x14ac:dyDescent="0.35">
      <c r="T815" s="275" t="s">
        <v>297</v>
      </c>
      <c r="U815" s="274"/>
    </row>
    <row r="816" spans="20:22" ht="15" thickBot="1" x14ac:dyDescent="0.4">
      <c r="V816" s="34"/>
    </row>
    <row r="817" spans="20:28" x14ac:dyDescent="0.35">
      <c r="T817" s="182" t="s">
        <v>130</v>
      </c>
      <c r="U817" s="273">
        <v>0</v>
      </c>
      <c r="V817" s="187"/>
      <c r="W817" s="187">
        <v>12</v>
      </c>
      <c r="X817" s="187"/>
      <c r="Z817" s="187">
        <v>30</v>
      </c>
    </row>
    <row r="818" spans="20:28" ht="15" thickBot="1" x14ac:dyDescent="0.4">
      <c r="T818" s="190" t="s">
        <v>131</v>
      </c>
      <c r="U818" s="202">
        <v>0</v>
      </c>
      <c r="V818" s="202">
        <v>0.28999999999999998</v>
      </c>
      <c r="W818" s="203">
        <v>0.3</v>
      </c>
      <c r="X818" s="203">
        <v>0.69</v>
      </c>
      <c r="Y818" s="204">
        <v>0.7</v>
      </c>
      <c r="Z818" s="205">
        <v>1</v>
      </c>
    </row>
    <row r="820" spans="20:28" x14ac:dyDescent="0.35">
      <c r="T820" s="7" t="s">
        <v>298</v>
      </c>
    </row>
    <row r="822" spans="20:28" x14ac:dyDescent="0.35">
      <c r="T822" s="17" t="s">
        <v>201</v>
      </c>
      <c r="U822">
        <v>3.3799999999999997E-2</v>
      </c>
    </row>
    <row r="823" spans="20:28" x14ac:dyDescent="0.35">
      <c r="T823" s="17" t="s">
        <v>205</v>
      </c>
      <c r="U823">
        <v>3.95E-2</v>
      </c>
      <c r="AB823" s="146"/>
    </row>
    <row r="824" spans="20:28" x14ac:dyDescent="0.35">
      <c r="AB824" s="146"/>
    </row>
    <row r="829" spans="20:28" x14ac:dyDescent="0.35">
      <c r="AB829" s="146"/>
    </row>
    <row r="830" spans="20:28" x14ac:dyDescent="0.35">
      <c r="AB830" s="146"/>
    </row>
    <row r="835" spans="20:28" x14ac:dyDescent="0.35">
      <c r="AB835" s="146"/>
    </row>
    <row r="836" spans="20:28" x14ac:dyDescent="0.35">
      <c r="AB836" s="146"/>
    </row>
    <row r="841" spans="20:28" x14ac:dyDescent="0.35">
      <c r="T841" s="17"/>
    </row>
    <row r="842" spans="20:28" x14ac:dyDescent="0.35">
      <c r="T842" s="17"/>
    </row>
    <row r="843" spans="20:28" x14ac:dyDescent="0.35">
      <c r="V843" s="34"/>
    </row>
    <row r="848" spans="20:28" x14ac:dyDescent="0.35">
      <c r="T848" s="121" t="s">
        <v>78</v>
      </c>
      <c r="U848" s="274"/>
    </row>
    <row r="849" spans="20:26" ht="15" thickBot="1" x14ac:dyDescent="0.4"/>
    <row r="850" spans="20:26" x14ac:dyDescent="0.35">
      <c r="T850" s="182" t="s">
        <v>130</v>
      </c>
      <c r="U850" s="273">
        <v>0</v>
      </c>
      <c r="V850" s="187"/>
      <c r="W850" s="187"/>
      <c r="X850" s="187"/>
      <c r="Y850" s="2">
        <v>10</v>
      </c>
      <c r="Z850" s="187">
        <v>14</v>
      </c>
    </row>
    <row r="851" spans="20:26" ht="15" thickBot="1" x14ac:dyDescent="0.4">
      <c r="T851" s="190" t="s">
        <v>131</v>
      </c>
      <c r="U851" s="202">
        <v>0</v>
      </c>
      <c r="V851" s="202">
        <v>0.28999999999999998</v>
      </c>
      <c r="W851" s="203">
        <v>0.3</v>
      </c>
      <c r="X851" s="203">
        <v>0.69</v>
      </c>
      <c r="Y851" s="204">
        <v>0.7</v>
      </c>
      <c r="Z851" s="205">
        <v>1</v>
      </c>
    </row>
    <row r="853" spans="20:26" x14ac:dyDescent="0.35">
      <c r="T853" s="7" t="s">
        <v>299</v>
      </c>
    </row>
    <row r="855" spans="20:26" x14ac:dyDescent="0.35">
      <c r="T855" s="17" t="s">
        <v>201</v>
      </c>
      <c r="U855">
        <v>7.1199999999999999E-2</v>
      </c>
    </row>
    <row r="856" spans="20:26" x14ac:dyDescent="0.35">
      <c r="T856" s="17" t="s">
        <v>205</v>
      </c>
      <c r="U856">
        <v>2.5999999999999999E-3</v>
      </c>
    </row>
    <row r="871" spans="20:22" x14ac:dyDescent="0.35">
      <c r="T871" s="17"/>
    </row>
    <row r="872" spans="20:22" x14ac:dyDescent="0.35">
      <c r="T872" s="17"/>
    </row>
    <row r="873" spans="20:22" x14ac:dyDescent="0.35">
      <c r="V873" s="34"/>
    </row>
    <row r="881" spans="20:26" x14ac:dyDescent="0.35">
      <c r="T881" s="274" t="s">
        <v>76</v>
      </c>
      <c r="U881" s="274"/>
    </row>
    <row r="882" spans="20:26" ht="15" thickBot="1" x14ac:dyDescent="0.4"/>
    <row r="883" spans="20:26" x14ac:dyDescent="0.35">
      <c r="T883" s="182" t="s">
        <v>130</v>
      </c>
      <c r="U883" s="273">
        <v>20</v>
      </c>
      <c r="V883" s="187"/>
      <c r="W883" s="187"/>
      <c r="X883" s="187"/>
      <c r="Y883" s="2">
        <v>60</v>
      </c>
      <c r="Z883" s="187">
        <v>125</v>
      </c>
    </row>
    <row r="884" spans="20:26" ht="15" thickBot="1" x14ac:dyDescent="0.4">
      <c r="T884" s="190" t="s">
        <v>131</v>
      </c>
      <c r="U884" s="202">
        <v>0</v>
      </c>
      <c r="V884" s="202">
        <v>0.28999999999999998</v>
      </c>
      <c r="W884" s="203">
        <v>0.3</v>
      </c>
      <c r="X884" s="203">
        <v>0.69</v>
      </c>
      <c r="Y884" s="204">
        <v>0.7</v>
      </c>
      <c r="Z884" s="205">
        <v>1</v>
      </c>
    </row>
    <row r="886" spans="20:26" x14ac:dyDescent="0.35">
      <c r="T886" s="7" t="s">
        <v>299</v>
      </c>
    </row>
    <row r="888" spans="20:26" x14ac:dyDescent="0.35">
      <c r="T888" s="17" t="s">
        <v>201</v>
      </c>
      <c r="U888">
        <v>4.5999999999999999E-3</v>
      </c>
      <c r="V888">
        <v>1.7500000000000002E-2</v>
      </c>
    </row>
    <row r="889" spans="20:26" x14ac:dyDescent="0.35">
      <c r="T889" s="17" t="s">
        <v>205</v>
      </c>
      <c r="U889">
        <v>0.42309999999999998</v>
      </c>
      <c r="V889">
        <v>-0.35</v>
      </c>
    </row>
    <row r="914" spans="20:26" x14ac:dyDescent="0.35">
      <c r="T914" s="274" t="s">
        <v>172</v>
      </c>
      <c r="U914" s="274"/>
    </row>
    <row r="915" spans="20:26" ht="15" thickBot="1" x14ac:dyDescent="0.4"/>
    <row r="916" spans="20:26" x14ac:dyDescent="0.35">
      <c r="T916" s="182" t="s">
        <v>130</v>
      </c>
      <c r="U916" s="273">
        <v>100</v>
      </c>
      <c r="V916" s="187"/>
      <c r="W916" s="187"/>
      <c r="X916" s="187">
        <v>249</v>
      </c>
      <c r="Y916" s="2">
        <v>250</v>
      </c>
      <c r="Z916" s="187">
        <v>800</v>
      </c>
    </row>
    <row r="917" spans="20:26" ht="15" thickBot="1" x14ac:dyDescent="0.4">
      <c r="T917" s="190" t="s">
        <v>131</v>
      </c>
      <c r="U917" s="202">
        <v>0</v>
      </c>
      <c r="V917" s="202">
        <v>0.28999999999999998</v>
      </c>
      <c r="W917" s="203">
        <v>0.3</v>
      </c>
      <c r="X917" s="203">
        <v>0.69</v>
      </c>
      <c r="Y917" s="204">
        <v>0.7</v>
      </c>
      <c r="Z917" s="205">
        <v>1</v>
      </c>
    </row>
    <row r="919" spans="20:26" x14ac:dyDescent="0.35">
      <c r="T919" s="7" t="s">
        <v>299</v>
      </c>
    </row>
    <row r="921" spans="20:26" x14ac:dyDescent="0.35">
      <c r="T921" s="17" t="s">
        <v>201</v>
      </c>
      <c r="U921">
        <v>5.4549999999999998E-4</v>
      </c>
      <c r="V921">
        <v>4.5999999999999999E-3</v>
      </c>
    </row>
    <row r="922" spans="20:26" x14ac:dyDescent="0.35">
      <c r="T922" s="17" t="s">
        <v>205</v>
      </c>
      <c r="U922">
        <v>0.56363635999999995</v>
      </c>
      <c r="V922">
        <v>-0.46310000000000001</v>
      </c>
    </row>
    <row r="949" spans="20:26" x14ac:dyDescent="0.35">
      <c r="T949" s="274" t="s">
        <v>300</v>
      </c>
      <c r="U949" s="274"/>
      <c r="W949" t="s">
        <v>301</v>
      </c>
    </row>
    <row r="950" spans="20:26" ht="15" thickBot="1" x14ac:dyDescent="0.4">
      <c r="W950" t="s">
        <v>302</v>
      </c>
    </row>
    <row r="951" spans="20:26" x14ac:dyDescent="0.35">
      <c r="T951" s="182" t="s">
        <v>130</v>
      </c>
      <c r="U951" s="273">
        <v>0</v>
      </c>
      <c r="V951" s="187"/>
      <c r="W951" s="187"/>
      <c r="X951" s="187"/>
      <c r="Y951" s="188">
        <v>55</v>
      </c>
      <c r="Z951" s="189">
        <v>120</v>
      </c>
    </row>
    <row r="952" spans="20:26" ht="15" thickBot="1" x14ac:dyDescent="0.4">
      <c r="T952" s="190" t="s">
        <v>131</v>
      </c>
      <c r="U952" s="202">
        <v>0</v>
      </c>
      <c r="V952" s="202">
        <v>0.28999999999999998</v>
      </c>
      <c r="W952" s="203">
        <v>0.3</v>
      </c>
      <c r="X952" s="203">
        <v>0.69</v>
      </c>
      <c r="Y952" s="204">
        <v>0.7</v>
      </c>
      <c r="Z952" s="205">
        <v>1</v>
      </c>
    </row>
    <row r="954" spans="20:26" x14ac:dyDescent="0.35">
      <c r="T954" s="7" t="s">
        <v>299</v>
      </c>
    </row>
    <row r="955" spans="20:26" x14ac:dyDescent="0.35">
      <c r="U955" t="s">
        <v>195</v>
      </c>
      <c r="V955" t="s">
        <v>303</v>
      </c>
    </row>
    <row r="956" spans="20:26" x14ac:dyDescent="0.35">
      <c r="T956" s="17" t="s">
        <v>201</v>
      </c>
      <c r="U956">
        <v>4.6150000000000002E-3</v>
      </c>
      <c r="V956">
        <v>1.2699999999999999E-2</v>
      </c>
    </row>
    <row r="957" spans="20:26" x14ac:dyDescent="0.35">
      <c r="T957" s="17" t="s">
        <v>205</v>
      </c>
      <c r="U957">
        <v>0.44600000000000001</v>
      </c>
      <c r="V957">
        <v>0</v>
      </c>
    </row>
  </sheetData>
  <sheetProtection algorithmName="SHA-512" hashValue="9nT+FADy/Id3RlK4tIqmYroOx5/pRzEVw4x2K8McTv9qsLIk+3X54LzCKRAzbWejzpfILjew1V84FNDT2d7Eng==" saltValue="z8ObN2S6Dg3UObSKhoWj6w==" spinCount="100000" sheet="1" objects="1" scenarios="1"/>
  <mergeCells count="15">
    <mergeCell ref="AL5:AR6"/>
    <mergeCell ref="T686:T687"/>
    <mergeCell ref="T720:T721"/>
    <mergeCell ref="K145:K146"/>
    <mergeCell ref="T448:T449"/>
    <mergeCell ref="U487:V487"/>
    <mergeCell ref="U520:V520"/>
    <mergeCell ref="T617:T618"/>
    <mergeCell ref="T651:T652"/>
    <mergeCell ref="B79:B80"/>
    <mergeCell ref="AC80:AC81"/>
    <mergeCell ref="B5:H6"/>
    <mergeCell ref="K5:Q6"/>
    <mergeCell ref="T5:Z6"/>
    <mergeCell ref="AC5:AI6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1228-B6CF-4A6F-B0D8-3F775267ADE9}">
  <dimension ref="A1:B147"/>
  <sheetViews>
    <sheetView topLeftCell="A124" workbookViewId="0">
      <selection activeCell="E146" sqref="E146"/>
    </sheetView>
  </sheetViews>
  <sheetFormatPr defaultRowHeight="14.5" x14ac:dyDescent="0.35"/>
  <cols>
    <col min="1" max="1" width="8.90625" style="4"/>
    <col min="2" max="2" width="25.08984375" bestFit="1" customWidth="1"/>
  </cols>
  <sheetData>
    <row r="1" spans="1:2" x14ac:dyDescent="0.35">
      <c r="A1" s="4" t="s">
        <v>304</v>
      </c>
    </row>
    <row r="2" spans="1:2" x14ac:dyDescent="0.35">
      <c r="B2" t="s">
        <v>305</v>
      </c>
    </row>
    <row r="3" spans="1:2" x14ac:dyDescent="0.35">
      <c r="B3" t="s">
        <v>306</v>
      </c>
    </row>
    <row r="4" spans="1:2" x14ac:dyDescent="0.35">
      <c r="B4" t="s">
        <v>307</v>
      </c>
    </row>
    <row r="5" spans="1:2" x14ac:dyDescent="0.35">
      <c r="B5" t="s">
        <v>308</v>
      </c>
    </row>
    <row r="6" spans="1:2" x14ac:dyDescent="0.35">
      <c r="B6" t="s">
        <v>258</v>
      </c>
    </row>
    <row r="7" spans="1:2" x14ac:dyDescent="0.35">
      <c r="B7" t="s">
        <v>309</v>
      </c>
    </row>
    <row r="8" spans="1:2" x14ac:dyDescent="0.35">
      <c r="B8" t="s">
        <v>310</v>
      </c>
    </row>
    <row r="9" spans="1:2" x14ac:dyDescent="0.35">
      <c r="B9" t="s">
        <v>311</v>
      </c>
    </row>
    <row r="10" spans="1:2" x14ac:dyDescent="0.35">
      <c r="B10" t="s">
        <v>195</v>
      </c>
    </row>
    <row r="11" spans="1:2" x14ac:dyDescent="0.35">
      <c r="B11" t="s">
        <v>312</v>
      </c>
    </row>
    <row r="12" spans="1:2" x14ac:dyDescent="0.35">
      <c r="B12" t="s">
        <v>313</v>
      </c>
    </row>
    <row r="13" spans="1:2" x14ac:dyDescent="0.35">
      <c r="B13" t="s">
        <v>314</v>
      </c>
    </row>
    <row r="14" spans="1:2" x14ac:dyDescent="0.35">
      <c r="B14" t="s">
        <v>315</v>
      </c>
    </row>
    <row r="15" spans="1:2" x14ac:dyDescent="0.35">
      <c r="B15" t="s">
        <v>316</v>
      </c>
    </row>
    <row r="17" spans="1:2" x14ac:dyDescent="0.35">
      <c r="A17" s="4" t="s">
        <v>111</v>
      </c>
    </row>
    <row r="18" spans="1:2" x14ac:dyDescent="0.35">
      <c r="B18" t="s">
        <v>317</v>
      </c>
    </row>
    <row r="19" spans="1:2" x14ac:dyDescent="0.35">
      <c r="B19" t="s">
        <v>318</v>
      </c>
    </row>
    <row r="21" spans="1:2" x14ac:dyDescent="0.35">
      <c r="A21" s="4" t="s">
        <v>118</v>
      </c>
    </row>
    <row r="22" spans="1:2" x14ac:dyDescent="0.35">
      <c r="B22" t="s">
        <v>319</v>
      </c>
    </row>
    <row r="23" spans="1:2" x14ac:dyDescent="0.35">
      <c r="B23" t="s">
        <v>320</v>
      </c>
    </row>
    <row r="24" spans="1:2" x14ac:dyDescent="0.35">
      <c r="B24" t="s">
        <v>321</v>
      </c>
    </row>
    <row r="25" spans="1:2" x14ac:dyDescent="0.35">
      <c r="B25" t="s">
        <v>322</v>
      </c>
    </row>
    <row r="26" spans="1:2" x14ac:dyDescent="0.35">
      <c r="B26" t="s">
        <v>323</v>
      </c>
    </row>
    <row r="27" spans="1:2" x14ac:dyDescent="0.35">
      <c r="B27" t="s">
        <v>324</v>
      </c>
    </row>
    <row r="29" spans="1:2" x14ac:dyDescent="0.35">
      <c r="A29" s="4" t="s">
        <v>116</v>
      </c>
    </row>
    <row r="30" spans="1:2" x14ac:dyDescent="0.35">
      <c r="B30" t="s">
        <v>325</v>
      </c>
    </row>
    <row r="31" spans="1:2" x14ac:dyDescent="0.35">
      <c r="B31" t="s">
        <v>326</v>
      </c>
    </row>
    <row r="32" spans="1:2" x14ac:dyDescent="0.35">
      <c r="B32" t="s">
        <v>327</v>
      </c>
    </row>
    <row r="34" spans="1:2" x14ac:dyDescent="0.35">
      <c r="A34" s="4" t="s">
        <v>328</v>
      </c>
    </row>
    <row r="35" spans="1:2" x14ac:dyDescent="0.35">
      <c r="B35" t="s">
        <v>329</v>
      </c>
    </row>
    <row r="36" spans="1:2" x14ac:dyDescent="0.35">
      <c r="B36" t="s">
        <v>330</v>
      </c>
    </row>
    <row r="37" spans="1:2" x14ac:dyDescent="0.35">
      <c r="B37" t="s">
        <v>331</v>
      </c>
    </row>
    <row r="38" spans="1:2" x14ac:dyDescent="0.35">
      <c r="B38" t="s">
        <v>332</v>
      </c>
    </row>
    <row r="39" spans="1:2" x14ac:dyDescent="0.35">
      <c r="B39" t="s">
        <v>333</v>
      </c>
    </row>
    <row r="40" spans="1:2" x14ac:dyDescent="0.35">
      <c r="B40" t="s">
        <v>334</v>
      </c>
    </row>
    <row r="41" spans="1:2" x14ac:dyDescent="0.35">
      <c r="B41" t="s">
        <v>335</v>
      </c>
    </row>
    <row r="42" spans="1:2" x14ac:dyDescent="0.35">
      <c r="B42" t="s">
        <v>336</v>
      </c>
    </row>
    <row r="43" spans="1:2" x14ac:dyDescent="0.35">
      <c r="B43" t="s">
        <v>337</v>
      </c>
    </row>
    <row r="44" spans="1:2" x14ac:dyDescent="0.35">
      <c r="B44" t="s">
        <v>338</v>
      </c>
    </row>
    <row r="45" spans="1:2" x14ac:dyDescent="0.35">
      <c r="B45" t="s">
        <v>339</v>
      </c>
    </row>
    <row r="46" spans="1:2" x14ac:dyDescent="0.35">
      <c r="B46" t="s">
        <v>340</v>
      </c>
    </row>
    <row r="47" spans="1:2" x14ac:dyDescent="0.35">
      <c r="B47" t="s">
        <v>341</v>
      </c>
    </row>
    <row r="48" spans="1:2" x14ac:dyDescent="0.35">
      <c r="B48" t="s">
        <v>342</v>
      </c>
    </row>
    <row r="49" spans="2:2" x14ac:dyDescent="0.35">
      <c r="B49" t="s">
        <v>343</v>
      </c>
    </row>
    <row r="50" spans="2:2" x14ac:dyDescent="0.35">
      <c r="B50" t="s">
        <v>344</v>
      </c>
    </row>
    <row r="51" spans="2:2" x14ac:dyDescent="0.35">
      <c r="B51" t="s">
        <v>345</v>
      </c>
    </row>
    <row r="52" spans="2:2" x14ac:dyDescent="0.35">
      <c r="B52" t="s">
        <v>346</v>
      </c>
    </row>
    <row r="53" spans="2:2" x14ac:dyDescent="0.35">
      <c r="B53" t="s">
        <v>347</v>
      </c>
    </row>
    <row r="54" spans="2:2" x14ac:dyDescent="0.35">
      <c r="B54" t="s">
        <v>348</v>
      </c>
    </row>
    <row r="55" spans="2:2" x14ac:dyDescent="0.35">
      <c r="B55" t="s">
        <v>349</v>
      </c>
    </row>
    <row r="56" spans="2:2" x14ac:dyDescent="0.35">
      <c r="B56" t="s">
        <v>350</v>
      </c>
    </row>
    <row r="57" spans="2:2" x14ac:dyDescent="0.35">
      <c r="B57" t="s">
        <v>351</v>
      </c>
    </row>
    <row r="58" spans="2:2" x14ac:dyDescent="0.35">
      <c r="B58" t="s">
        <v>352</v>
      </c>
    </row>
    <row r="59" spans="2:2" x14ac:dyDescent="0.35">
      <c r="B59" t="s">
        <v>353</v>
      </c>
    </row>
    <row r="60" spans="2:2" x14ac:dyDescent="0.35">
      <c r="B60" t="s">
        <v>354</v>
      </c>
    </row>
    <row r="61" spans="2:2" x14ac:dyDescent="0.35">
      <c r="B61" t="s">
        <v>355</v>
      </c>
    </row>
    <row r="62" spans="2:2" x14ac:dyDescent="0.35">
      <c r="B62" t="s">
        <v>356</v>
      </c>
    </row>
    <row r="63" spans="2:2" x14ac:dyDescent="0.35">
      <c r="B63" t="s">
        <v>357</v>
      </c>
    </row>
    <row r="64" spans="2:2" x14ac:dyDescent="0.35">
      <c r="B64" t="s">
        <v>358</v>
      </c>
    </row>
    <row r="66" spans="1:2" x14ac:dyDescent="0.35">
      <c r="A66" s="4" t="s">
        <v>97</v>
      </c>
    </row>
    <row r="67" spans="1:2" x14ac:dyDescent="0.35">
      <c r="B67" t="s">
        <v>359</v>
      </c>
    </row>
    <row r="68" spans="1:2" x14ac:dyDescent="0.35">
      <c r="B68" t="s">
        <v>360</v>
      </c>
    </row>
    <row r="70" spans="1:2" x14ac:dyDescent="0.35">
      <c r="A70" s="4" t="s">
        <v>98</v>
      </c>
    </row>
    <row r="71" spans="1:2" x14ac:dyDescent="0.35">
      <c r="B71" t="s">
        <v>361</v>
      </c>
    </row>
    <row r="72" spans="1:2" x14ac:dyDescent="0.35">
      <c r="B72" t="s">
        <v>362</v>
      </c>
    </row>
    <row r="73" spans="1:2" x14ac:dyDescent="0.35">
      <c r="B73" t="s">
        <v>363</v>
      </c>
    </row>
    <row r="74" spans="1:2" x14ac:dyDescent="0.35">
      <c r="B74" t="s">
        <v>364</v>
      </c>
    </row>
    <row r="75" spans="1:2" x14ac:dyDescent="0.35">
      <c r="B75" t="s">
        <v>365</v>
      </c>
    </row>
    <row r="76" spans="1:2" x14ac:dyDescent="0.35">
      <c r="B76" t="s">
        <v>366</v>
      </c>
    </row>
    <row r="78" spans="1:2" x14ac:dyDescent="0.35">
      <c r="A78" s="4" t="s">
        <v>367</v>
      </c>
    </row>
    <row r="79" spans="1:2" x14ac:dyDescent="0.35">
      <c r="B79" t="s">
        <v>368</v>
      </c>
    </row>
    <row r="80" spans="1:2" x14ac:dyDescent="0.35">
      <c r="B80" t="s">
        <v>369</v>
      </c>
    </row>
    <row r="82" spans="1:2" x14ac:dyDescent="0.35">
      <c r="A82" s="4" t="s">
        <v>370</v>
      </c>
    </row>
    <row r="83" spans="1:2" x14ac:dyDescent="0.35">
      <c r="B83" t="s">
        <v>371</v>
      </c>
    </row>
    <row r="84" spans="1:2" x14ac:dyDescent="0.35">
      <c r="B84" t="s">
        <v>372</v>
      </c>
    </row>
    <row r="85" spans="1:2" x14ac:dyDescent="0.35">
      <c r="B85" t="s">
        <v>373</v>
      </c>
    </row>
    <row r="86" spans="1:2" x14ac:dyDescent="0.35">
      <c r="B86" t="s">
        <v>374</v>
      </c>
    </row>
    <row r="88" spans="1:2" x14ac:dyDescent="0.35">
      <c r="A88" s="4" t="s">
        <v>13</v>
      </c>
    </row>
    <row r="89" spans="1:2" x14ac:dyDescent="0.35">
      <c r="B89" t="s">
        <v>375</v>
      </c>
    </row>
    <row r="90" spans="1:2" x14ac:dyDescent="0.35">
      <c r="B90" t="s">
        <v>376</v>
      </c>
    </row>
    <row r="91" spans="1:2" x14ac:dyDescent="0.35">
      <c r="B91" t="s">
        <v>377</v>
      </c>
    </row>
    <row r="92" spans="1:2" x14ac:dyDescent="0.35">
      <c r="B92" t="s">
        <v>378</v>
      </c>
    </row>
    <row r="93" spans="1:2" x14ac:dyDescent="0.35">
      <c r="B93" t="s">
        <v>379</v>
      </c>
    </row>
    <row r="94" spans="1:2" x14ac:dyDescent="0.35">
      <c r="B94" t="s">
        <v>380</v>
      </c>
    </row>
    <row r="96" spans="1:2" x14ac:dyDescent="0.35">
      <c r="A96" s="4" t="s">
        <v>15</v>
      </c>
    </row>
    <row r="97" spans="1:2" x14ac:dyDescent="0.35">
      <c r="B97" t="s">
        <v>381</v>
      </c>
    </row>
    <row r="98" spans="1:2" x14ac:dyDescent="0.35">
      <c r="B98" t="s">
        <v>382</v>
      </c>
    </row>
    <row r="99" spans="1:2" x14ac:dyDescent="0.35">
      <c r="B99" t="s">
        <v>383</v>
      </c>
    </row>
    <row r="100" spans="1:2" x14ac:dyDescent="0.35">
      <c r="B100" t="s">
        <v>384</v>
      </c>
    </row>
    <row r="101" spans="1:2" x14ac:dyDescent="0.35">
      <c r="B101" t="s">
        <v>385</v>
      </c>
    </row>
    <row r="102" spans="1:2" x14ac:dyDescent="0.35">
      <c r="B102" t="s">
        <v>386</v>
      </c>
    </row>
    <row r="103" spans="1:2" x14ac:dyDescent="0.35">
      <c r="B103" t="s">
        <v>387</v>
      </c>
    </row>
    <row r="104" spans="1:2" x14ac:dyDescent="0.35">
      <c r="B104" t="s">
        <v>388</v>
      </c>
    </row>
    <row r="105" spans="1:2" x14ac:dyDescent="0.35">
      <c r="B105" t="s">
        <v>389</v>
      </c>
    </row>
    <row r="106" spans="1:2" x14ac:dyDescent="0.35">
      <c r="B106" t="s">
        <v>390</v>
      </c>
    </row>
    <row r="108" spans="1:2" x14ac:dyDescent="0.35">
      <c r="A108" s="4" t="s">
        <v>123</v>
      </c>
    </row>
    <row r="109" spans="1:2" x14ac:dyDescent="0.35">
      <c r="B109" t="s">
        <v>189</v>
      </c>
    </row>
    <row r="110" spans="1:2" x14ac:dyDescent="0.35">
      <c r="B110" t="s">
        <v>191</v>
      </c>
    </row>
    <row r="111" spans="1:2" x14ac:dyDescent="0.35">
      <c r="B111" t="s">
        <v>391</v>
      </c>
    </row>
    <row r="113" spans="1:2" x14ac:dyDescent="0.35">
      <c r="A113" s="4" t="s">
        <v>392</v>
      </c>
    </row>
    <row r="114" spans="1:2" x14ac:dyDescent="0.35">
      <c r="B114" t="s">
        <v>393</v>
      </c>
    </row>
    <row r="115" spans="1:2" x14ac:dyDescent="0.35">
      <c r="B115" t="s">
        <v>394</v>
      </c>
    </row>
    <row r="116" spans="1:2" x14ac:dyDescent="0.35">
      <c r="B116" t="s">
        <v>395</v>
      </c>
    </row>
    <row r="118" spans="1:2" x14ac:dyDescent="0.35">
      <c r="A118" s="4" t="s">
        <v>396</v>
      </c>
    </row>
    <row r="119" spans="1:2" x14ac:dyDescent="0.35">
      <c r="B119" t="s">
        <v>230</v>
      </c>
    </row>
    <row r="120" spans="1:2" x14ac:dyDescent="0.35">
      <c r="B120" t="s">
        <v>231</v>
      </c>
    </row>
    <row r="121" spans="1:2" x14ac:dyDescent="0.35">
      <c r="B121" t="s">
        <v>232</v>
      </c>
    </row>
    <row r="123" spans="1:2" x14ac:dyDescent="0.35">
      <c r="A123" s="4" t="s">
        <v>109</v>
      </c>
    </row>
    <row r="124" spans="1:2" x14ac:dyDescent="0.35">
      <c r="B124" t="s">
        <v>397</v>
      </c>
    </row>
    <row r="125" spans="1:2" x14ac:dyDescent="0.35">
      <c r="B125" t="s">
        <v>398</v>
      </c>
    </row>
    <row r="126" spans="1:2" x14ac:dyDescent="0.35">
      <c r="B126" t="s">
        <v>399</v>
      </c>
    </row>
    <row r="128" spans="1:2" x14ac:dyDescent="0.35">
      <c r="A128" s="4" t="s">
        <v>400</v>
      </c>
    </row>
    <row r="129" spans="1:2" x14ac:dyDescent="0.35">
      <c r="B129" t="s">
        <v>401</v>
      </c>
    </row>
    <row r="130" spans="1:2" x14ac:dyDescent="0.35">
      <c r="B130" t="s">
        <v>402</v>
      </c>
    </row>
    <row r="131" spans="1:2" x14ac:dyDescent="0.35">
      <c r="B131" t="s">
        <v>403</v>
      </c>
    </row>
    <row r="132" spans="1:2" x14ac:dyDescent="0.35">
      <c r="B132" t="s">
        <v>404</v>
      </c>
    </row>
    <row r="134" spans="1:2" x14ac:dyDescent="0.35">
      <c r="A134" s="4" t="s">
        <v>127</v>
      </c>
    </row>
    <row r="135" spans="1:2" x14ac:dyDescent="0.35">
      <c r="B135" t="s">
        <v>405</v>
      </c>
    </row>
    <row r="136" spans="1:2" x14ac:dyDescent="0.35">
      <c r="B136" t="s">
        <v>406</v>
      </c>
    </row>
    <row r="138" spans="1:2" x14ac:dyDescent="0.35">
      <c r="A138" s="4" t="s">
        <v>407</v>
      </c>
    </row>
    <row r="139" spans="1:2" x14ac:dyDescent="0.35">
      <c r="B139" t="s">
        <v>408</v>
      </c>
    </row>
    <row r="140" spans="1:2" x14ac:dyDescent="0.35">
      <c r="B140" t="s">
        <v>409</v>
      </c>
    </row>
    <row r="142" spans="1:2" x14ac:dyDescent="0.35">
      <c r="A142" s="4" t="s">
        <v>88</v>
      </c>
    </row>
    <row r="143" spans="1:2" x14ac:dyDescent="0.35">
      <c r="B143" t="s">
        <v>410</v>
      </c>
    </row>
    <row r="144" spans="1:2" x14ac:dyDescent="0.35">
      <c r="B144" t="s">
        <v>411</v>
      </c>
    </row>
    <row r="145" spans="2:2" x14ac:dyDescent="0.35">
      <c r="B145" t="s">
        <v>412</v>
      </c>
    </row>
    <row r="146" spans="2:2" x14ac:dyDescent="0.35">
      <c r="B146" t="s">
        <v>413</v>
      </c>
    </row>
    <row r="147" spans="2:2" x14ac:dyDescent="0.35">
      <c r="B147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Project Summary</vt:lpstr>
      <vt:lpstr>Parameter Selection Guide</vt:lpstr>
      <vt:lpstr>Quantification_Tool</vt:lpstr>
      <vt:lpstr>SQT_As-Built</vt:lpstr>
      <vt:lpstr>SQT_5-Year</vt:lpstr>
      <vt:lpstr>Reference Curves</vt:lpstr>
      <vt:lpstr>Pull Down Notes</vt:lpstr>
      <vt:lpstr>BEHI.NBS</vt:lpstr>
      <vt:lpstr>Flow.Type</vt:lpstr>
      <vt:lpstr>Level</vt:lpstr>
      <vt:lpstr>ProgramGoals</vt:lpstr>
      <vt:lpstr>Region</vt:lpstr>
      <vt:lpstr>RiverBasins</vt:lpstr>
      <vt:lpstr>StreamType</vt:lpstr>
      <vt:lpstr>WaterTypes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Morgan, NRCS, Waynesville, NC</dc:creator>
  <cp:lastModifiedBy>Harris, Morgan, NRCS, Waynesville, NC</cp:lastModifiedBy>
  <dcterms:created xsi:type="dcterms:W3CDTF">2023-08-21T16:26:04Z</dcterms:created>
  <dcterms:modified xsi:type="dcterms:W3CDTF">2023-11-06T17:11:41Z</dcterms:modified>
</cp:coreProperties>
</file>